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15200" windowHeight="8140" activeTab="0"/>
  </bookViews>
  <sheets>
    <sheet name="Apartment" sheetId="1" r:id="rId1"/>
    <sheet name="Commercial or Office" sheetId="2" r:id="rId2"/>
  </sheets>
  <definedNames>
    <definedName name="_xlnm.Print_Area" localSheetId="0">'Apartment'!$B$2:$K$109</definedName>
    <definedName name="_xlnm.Print_Area" localSheetId="1">'Commercial or Office'!$B$2:$K$109</definedName>
  </definedNames>
  <calcPr fullCalcOnLoad="1"/>
</workbook>
</file>

<file path=xl/sharedStrings.xml><?xml version="1.0" encoding="utf-8"?>
<sst xmlns="http://schemas.openxmlformats.org/spreadsheetml/2006/main" count="418" uniqueCount="200">
  <si>
    <t>Page 1--PROFORMA</t>
  </si>
  <si>
    <t>Property Type:</t>
  </si>
  <si>
    <t>Apartment</t>
  </si>
  <si>
    <t>Bluestone &amp; Hockley Real Estate Services</t>
  </si>
  <si>
    <t>Office Phone (503) 222-3800</t>
  </si>
  <si>
    <t>Real Estate Cash Flow Analysis    Page One</t>
  </si>
  <si>
    <t>Cap Rate</t>
  </si>
  <si>
    <t>Commercial/Office</t>
  </si>
  <si>
    <t>Property Address:</t>
  </si>
  <si>
    <t>INVESTMENT PROFORMA</t>
  </si>
  <si>
    <t>INVESTMENT RETURNS</t>
  </si>
  <si>
    <t>Price:</t>
  </si>
  <si>
    <t>Land</t>
  </si>
  <si>
    <t>Capitalization Rate</t>
  </si>
  <si>
    <t>Down Payment:</t>
  </si>
  <si>
    <t>Improvements</t>
  </si>
  <si>
    <t>Cash On Cash Return Year 1</t>
  </si>
  <si>
    <t>Capital and Closing Cost:</t>
  </si>
  <si>
    <t>Taxes</t>
  </si>
  <si>
    <t>Average Cash on Cash Return</t>
  </si>
  <si>
    <t>LTV</t>
  </si>
  <si>
    <t>Seven (7) Year Pre-Tax IRR</t>
  </si>
  <si>
    <t>Investment Amount:</t>
  </si>
  <si>
    <t>DCR</t>
  </si>
  <si>
    <t>Encumbrances</t>
  </si>
  <si>
    <t>Loan</t>
  </si>
  <si>
    <t>Term</t>
  </si>
  <si>
    <t>Payments</t>
  </si>
  <si>
    <t>Interest</t>
  </si>
  <si>
    <t>Prin &amp; Int</t>
  </si>
  <si>
    <t>Annual Debt</t>
  </si>
  <si>
    <t>Loan Closing</t>
  </si>
  <si>
    <t>Amount</t>
  </si>
  <si>
    <t>In Years</t>
  </si>
  <si>
    <t>Per Year</t>
  </si>
  <si>
    <t>Rate</t>
  </si>
  <si>
    <t>Payment</t>
  </si>
  <si>
    <t>Service</t>
  </si>
  <si>
    <t>Escrow Costs</t>
  </si>
  <si>
    <t xml:space="preserve"> </t>
  </si>
  <si>
    <t>Proposed 2nd Mortgage</t>
  </si>
  <si>
    <t>Proposed 3rd Mortgage</t>
  </si>
  <si>
    <t>Figures Below Are:</t>
  </si>
  <si>
    <t>From Owner</t>
  </si>
  <si>
    <t>ANNUAL OPERATING INCOME</t>
  </si>
  <si>
    <t>SCHEDULED RENT ROLL</t>
  </si>
  <si>
    <t>$</t>
  </si>
  <si>
    <t>% of EGI</t>
  </si>
  <si>
    <t># of Units</t>
  </si>
  <si>
    <t>Type</t>
  </si>
  <si>
    <t>Total</t>
  </si>
  <si>
    <t>Gross Scheduled Income</t>
  </si>
  <si>
    <t>Gross Operating Income</t>
  </si>
  <si>
    <t>Vacancy Factor</t>
  </si>
  <si>
    <t>Rent Concessions</t>
  </si>
  <si>
    <t>Effective Gross Income</t>
  </si>
  <si>
    <t>Insurance</t>
  </si>
  <si>
    <t>Total Monthly</t>
  </si>
  <si>
    <t>Zoning</t>
  </si>
  <si>
    <t>Total Annual</t>
  </si>
  <si>
    <t>Lot Size</t>
  </si>
  <si>
    <t xml:space="preserve">INVESTMENT ASSUMPTIONS </t>
  </si>
  <si>
    <t>Income Growth</t>
  </si>
  <si>
    <t>Year Built</t>
  </si>
  <si>
    <t>Expense Growth</t>
  </si>
  <si>
    <t>Land Value % of Purchase Price</t>
  </si>
  <si>
    <t>Years of Investment</t>
  </si>
  <si>
    <t>Investor's Tax Bracket:</t>
  </si>
  <si>
    <t>Federal Capital Gains Tax</t>
  </si>
  <si>
    <t>State Capital Gains Tax</t>
  </si>
  <si>
    <t>Management</t>
  </si>
  <si>
    <t>Depreciation Recapture Rate</t>
  </si>
  <si>
    <t xml:space="preserve">Straight-Line Deprecation </t>
  </si>
  <si>
    <t>Notes:</t>
  </si>
  <si>
    <t>Total Operating Expense</t>
  </si>
  <si>
    <t>Net Operating Income</t>
  </si>
  <si>
    <t>Annual Debt Service</t>
  </si>
  <si>
    <t>Cash Flow Before Taxes</t>
  </si>
  <si>
    <t>Page 2--ANALYSIS</t>
  </si>
  <si>
    <t>Beginning</t>
  </si>
  <si>
    <t>Remaining</t>
  </si>
  <si>
    <t>Balance</t>
  </si>
  <si>
    <t>1st Mortgage</t>
  </si>
  <si>
    <t>2nd Mortgage</t>
  </si>
  <si>
    <t>1st Mortgage EOY</t>
  </si>
  <si>
    <t>2nd &amp; 3rd Mortgage</t>
  </si>
  <si>
    <t>Principal Reduction</t>
  </si>
  <si>
    <t>Taxable Income</t>
  </si>
  <si>
    <t>Year 1</t>
  </si>
  <si>
    <t>Year 2</t>
  </si>
  <si>
    <t>Year 3</t>
  </si>
  <si>
    <t>Year 4</t>
  </si>
  <si>
    <t>Year 5</t>
  </si>
  <si>
    <t>Year 6</t>
  </si>
  <si>
    <t>Year 7</t>
  </si>
  <si>
    <t>-Operating Expense</t>
  </si>
  <si>
    <t>-Interest</t>
  </si>
  <si>
    <t>-Depreciation</t>
  </si>
  <si>
    <t>Cash Flows</t>
  </si>
  <si>
    <t>-Annual Debt Service</t>
  </si>
  <si>
    <t>-Funded Reserves</t>
  </si>
  <si>
    <t>Cash Flow before Taxes</t>
  </si>
  <si>
    <t>Net Return Before Taxes</t>
  </si>
  <si>
    <t>Tax Liability</t>
  </si>
  <si>
    <t>Cash Flow After Taxes</t>
  </si>
  <si>
    <t>Net Return After Taxes</t>
  </si>
  <si>
    <t>Analysis of Sale Proceeds</t>
  </si>
  <si>
    <t>Original Basis</t>
  </si>
  <si>
    <t>Sale Proceeds</t>
  </si>
  <si>
    <t>+Capital Improvements</t>
  </si>
  <si>
    <t>Sale Price</t>
  </si>
  <si>
    <t>+Costs of Sale</t>
  </si>
  <si>
    <t>-Costs Of Sale</t>
  </si>
  <si>
    <t>Sub-Total</t>
  </si>
  <si>
    <t>-Mortgage</t>
  </si>
  <si>
    <t>Gross Proceeds</t>
  </si>
  <si>
    <t>-Partial Sales</t>
  </si>
  <si>
    <t>-Tax On Proceeds</t>
  </si>
  <si>
    <t>AB at Sale</t>
  </si>
  <si>
    <t>Net Proceeds</t>
  </si>
  <si>
    <t>Equity Cash Flows Pre Tax</t>
  </si>
  <si>
    <t>Factors</t>
  </si>
  <si>
    <t xml:space="preserve">Year </t>
  </si>
  <si>
    <t>-AB</t>
  </si>
  <si>
    <t>Gross Rent Multiplier (GRM)</t>
  </si>
  <si>
    <t>Purchase</t>
  </si>
  <si>
    <t>Gain</t>
  </si>
  <si>
    <t>Operating Income</t>
  </si>
  <si>
    <t>Capital Gains Tax</t>
  </si>
  <si>
    <t>Cash on Cash Return after Tax</t>
  </si>
  <si>
    <t>Sales Proceeds</t>
  </si>
  <si>
    <t>Tax Liability &amp; Recapture</t>
  </si>
  <si>
    <t>IRR After Tax</t>
  </si>
  <si>
    <t>Equity Cash Flows Post Tax</t>
  </si>
  <si>
    <t>The information contained herein has been obtained from sources deemed to be reliable but not guaranteed by Broker.  Any Projections, assumptions, opinions or</t>
  </si>
  <si>
    <t>estimates are used for example only and do not represent current or future performance of the property.  Any prospective buyer is advised to seek advice from</t>
  </si>
  <si>
    <t>competent tax, financial and/or legal advisors.  State and local taxes are not figured in the worksheet.</t>
  </si>
  <si>
    <t>Loans:</t>
  </si>
  <si>
    <t>Legal &amp; Other:</t>
  </si>
  <si>
    <t>Int</t>
  </si>
  <si>
    <t>Only</t>
  </si>
  <si>
    <t>n</t>
  </si>
  <si>
    <t>Due</t>
  </si>
  <si>
    <t>In</t>
  </si>
  <si>
    <t>Replacement 1st Mortgage</t>
  </si>
  <si>
    <t>Utilities</t>
  </si>
  <si>
    <t>CAM</t>
  </si>
  <si>
    <t>Building SF</t>
  </si>
  <si>
    <t>Number of stories</t>
  </si>
  <si>
    <t>Lease rate (avg.)</t>
  </si>
  <si>
    <t>Vacancy rate</t>
  </si>
  <si>
    <t>Cost per SF</t>
  </si>
  <si>
    <t>Information</t>
  </si>
  <si>
    <t>BUILDING/LOT INFORMATION</t>
  </si>
  <si>
    <t>Units</t>
  </si>
  <si>
    <t>Commercial/Retail</t>
  </si>
  <si>
    <t>Number of Buildings</t>
  </si>
  <si>
    <t>Expense Income</t>
  </si>
  <si>
    <t>CAM charges</t>
  </si>
  <si>
    <t>Number of Tenants</t>
  </si>
  <si>
    <t>Apartments</t>
  </si>
  <si>
    <t>NOI</t>
  </si>
  <si>
    <t>Rent Concession</t>
  </si>
  <si>
    <t>Real Estate Tax</t>
  </si>
  <si>
    <t>Expense Contingency</t>
  </si>
  <si>
    <t>city/state</t>
  </si>
  <si>
    <t>company name</t>
  </si>
  <si>
    <t>Monthly Rent/ bed</t>
  </si>
  <si>
    <t>Appreciation</t>
  </si>
  <si>
    <t>Appreciation:</t>
  </si>
  <si>
    <t xml:space="preserve">Loans: </t>
  </si>
  <si>
    <t>Real Estate Taxes</t>
  </si>
  <si>
    <t>On-site Manager</t>
  </si>
  <si>
    <t>Maintenance/Repairs</t>
  </si>
  <si>
    <t>Landscape Maint.</t>
  </si>
  <si>
    <t>Turning Expenses</t>
  </si>
  <si>
    <t>Garbage</t>
  </si>
  <si>
    <t>Supplies</t>
  </si>
  <si>
    <t>Telephone</t>
  </si>
  <si>
    <t>Sewer/Water</t>
  </si>
  <si>
    <t>Reserves</t>
  </si>
  <si>
    <t>Broker Name</t>
  </si>
  <si>
    <t>Year</t>
  </si>
  <si>
    <t>Interest only (Y/N)</t>
  </si>
  <si>
    <t>Sq Ftg</t>
  </si>
  <si>
    <t>Per SF</t>
  </si>
  <si>
    <t>Existing/New 1st Mortgage</t>
  </si>
  <si>
    <t>Existing/New 2nd Mortgage</t>
  </si>
  <si>
    <t xml:space="preserve">Portland,Oregon </t>
  </si>
  <si>
    <t>Advertising &amp; Admin</t>
  </si>
  <si>
    <t>Electricity &amp; Gas</t>
  </si>
  <si>
    <t>* Lender using Chase.</t>
  </si>
  <si>
    <t>Other Income(utilitiy)</t>
  </si>
  <si>
    <t>1 br</t>
  </si>
  <si>
    <t>2br/1bath</t>
  </si>
  <si>
    <t>2br/2bath</t>
  </si>
  <si>
    <t>studio</t>
  </si>
  <si>
    <t>office</t>
  </si>
  <si>
    <t>total</t>
  </si>
  <si>
    <t>other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</si>
</sst>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%"/>
    <numFmt numFmtId="167" formatCode="#,##0.0"/>
    <numFmt numFmtId="168" formatCode="0.00000000000E+00"/>
    <numFmt numFmtId="169" formatCode="&quot;$&quot;#,##0.00"/>
    <numFmt numFmtId="170" formatCode="0.0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8"/>
      <name val="Arial"/>
      <family val="2"/>
    </font>
    <font>
      <u val="single"/>
      <sz val="10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/>
      <bottom style="medium"/>
    </border>
    <border>
      <left>
        <color indexed="63"/>
      </left>
      <right style="double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double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ck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double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double">
        <color indexed="8"/>
      </right>
      <top style="thin"/>
      <bottom style="thin"/>
    </border>
    <border>
      <left style="thin"/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 style="medium"/>
    </border>
    <border>
      <left>
        <color indexed="63"/>
      </left>
      <right style="double">
        <color indexed="8"/>
      </right>
      <top style="medium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medium"/>
      <bottom style="medium"/>
    </border>
    <border>
      <left style="thin"/>
      <right style="double">
        <color indexed="8"/>
      </right>
      <top style="medium"/>
      <bottom style="thin"/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>
        <color indexed="8"/>
      </right>
      <top style="thick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 style="thick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 style="double"/>
      <bottom style="double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DashDotDot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4" borderId="12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/>
    </xf>
    <xf numFmtId="0" fontId="2" fillId="34" borderId="14" xfId="0" applyFont="1" applyFill="1" applyBorder="1" applyAlignment="1">
      <alignment horizontal="left"/>
    </xf>
    <xf numFmtId="0" fontId="0" fillId="0" borderId="15" xfId="0" applyFont="1" applyBorder="1" applyAlignment="1">
      <alignment/>
    </xf>
    <xf numFmtId="3" fontId="3" fillId="0" borderId="16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>
      <alignment/>
    </xf>
    <xf numFmtId="0" fontId="0" fillId="33" borderId="0" xfId="0" applyNumberFormat="1" applyFont="1" applyFill="1" applyAlignment="1">
      <alignment/>
    </xf>
    <xf numFmtId="0" fontId="0" fillId="0" borderId="17" xfId="0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>
      <alignment/>
    </xf>
    <xf numFmtId="10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3" fontId="3" fillId="0" borderId="25" xfId="0" applyNumberFormat="1" applyFont="1" applyBorder="1" applyAlignment="1" applyProtection="1">
      <alignment horizontal="center"/>
      <protection locked="0"/>
    </xf>
    <xf numFmtId="3" fontId="3" fillId="0" borderId="26" xfId="0" applyNumberFormat="1" applyFont="1" applyBorder="1" applyAlignment="1" applyProtection="1">
      <alignment horizontal="center"/>
      <protection locked="0"/>
    </xf>
    <xf numFmtId="165" fontId="3" fillId="0" borderId="26" xfId="0" applyNumberFormat="1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28" xfId="0" applyNumberFormat="1" applyFont="1" applyBorder="1" applyAlignment="1" applyProtection="1">
      <alignment/>
      <protection locked="0"/>
    </xf>
    <xf numFmtId="0" fontId="0" fillId="0" borderId="28" xfId="0" applyFont="1" applyBorder="1" applyAlignment="1">
      <alignment/>
    </xf>
    <xf numFmtId="0" fontId="2" fillId="34" borderId="13" xfId="0" applyNumberFormat="1" applyFont="1" applyFill="1" applyBorder="1" applyAlignment="1">
      <alignment horizontal="center"/>
    </xf>
    <xf numFmtId="0" fontId="0" fillId="34" borderId="29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0" fontId="2" fillId="34" borderId="30" xfId="0" applyNumberFormat="1" applyFont="1" applyFill="1" applyBorder="1" applyAlignment="1">
      <alignment horizontal="center"/>
    </xf>
    <xf numFmtId="0" fontId="0" fillId="34" borderId="31" xfId="0" applyNumberFormat="1" applyFont="1" applyFill="1" applyBorder="1" applyAlignment="1">
      <alignment horizontal="center"/>
    </xf>
    <xf numFmtId="0" fontId="0" fillId="34" borderId="32" xfId="0" applyNumberFormat="1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1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5" fontId="0" fillId="0" borderId="3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0" fillId="0" borderId="38" xfId="0" applyNumberFormat="1" applyFont="1" applyBorder="1" applyAlignment="1">
      <alignment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4" fillId="0" borderId="34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3" fillId="0" borderId="4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>
      <alignment horizontal="center"/>
    </xf>
    <xf numFmtId="3" fontId="3" fillId="0" borderId="0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0" fontId="0" fillId="0" borderId="43" xfId="0" applyNumberFormat="1" applyFont="1" applyBorder="1" applyAlignment="1">
      <alignment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0" fillId="33" borderId="44" xfId="0" applyNumberFormat="1" applyFont="1" applyFill="1" applyBorder="1" applyAlignment="1">
      <alignment/>
    </xf>
    <xf numFmtId="3" fontId="6" fillId="0" borderId="15" xfId="0" applyNumberFormat="1" applyFont="1" applyBorder="1" applyAlignment="1" applyProtection="1">
      <alignment horizontal="center"/>
      <protection locked="0"/>
    </xf>
    <xf numFmtId="0" fontId="0" fillId="0" borderId="13" xfId="0" applyNumberFormat="1" applyFont="1" applyBorder="1" applyAlignment="1">
      <alignment/>
    </xf>
    <xf numFmtId="1" fontId="2" fillId="0" borderId="13" xfId="0" applyNumberFormat="1" applyFont="1" applyBorder="1" applyAlignment="1">
      <alignment horizontal="center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0" fillId="0" borderId="46" xfId="0" applyNumberFormat="1" applyFont="1" applyBorder="1" applyAlignment="1">
      <alignment/>
    </xf>
    <xf numFmtId="3" fontId="2" fillId="0" borderId="46" xfId="0" applyNumberFormat="1" applyFont="1" applyBorder="1" applyAlignment="1" applyProtection="1">
      <alignment horizontal="center"/>
      <protection locked="0"/>
    </xf>
    <xf numFmtId="5" fontId="0" fillId="0" borderId="0" xfId="0" applyNumberFormat="1" applyFont="1" applyBorder="1" applyAlignment="1">
      <alignment horizontal="center"/>
    </xf>
    <xf numFmtId="3" fontId="3" fillId="0" borderId="4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>
      <alignment/>
    </xf>
    <xf numFmtId="3" fontId="3" fillId="0" borderId="28" xfId="0" applyNumberFormat="1" applyFont="1" applyBorder="1" applyAlignment="1" applyProtection="1">
      <alignment horizontal="center"/>
      <protection locked="0"/>
    </xf>
    <xf numFmtId="3" fontId="3" fillId="0" borderId="48" xfId="0" applyNumberFormat="1" applyFont="1" applyBorder="1" applyAlignment="1" applyProtection="1">
      <alignment horizontal="left"/>
      <protection locked="0"/>
    </xf>
    <xf numFmtId="0" fontId="0" fillId="0" borderId="49" xfId="0" applyNumberFormat="1" applyFont="1" applyBorder="1" applyAlignment="1">
      <alignment/>
    </xf>
    <xf numFmtId="3" fontId="3" fillId="0" borderId="49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3" fontId="3" fillId="0" borderId="50" xfId="0" applyNumberFormat="1" applyFont="1" applyBorder="1" applyAlignment="1" applyProtection="1">
      <alignment horizontal="left"/>
      <protection locked="0"/>
    </xf>
    <xf numFmtId="0" fontId="0" fillId="0" borderId="51" xfId="0" applyNumberFormat="1" applyFont="1" applyBorder="1" applyAlignment="1">
      <alignment/>
    </xf>
    <xf numFmtId="3" fontId="3" fillId="0" borderId="51" xfId="0" applyNumberFormat="1" applyFont="1" applyBorder="1" applyAlignment="1" applyProtection="1">
      <alignment horizontal="center"/>
      <protection locked="0"/>
    </xf>
    <xf numFmtId="3" fontId="3" fillId="0" borderId="17" xfId="0" applyNumberFormat="1" applyFont="1" applyBorder="1" applyAlignment="1" applyProtection="1">
      <alignment horizontal="left"/>
      <protection locked="0"/>
    </xf>
    <xf numFmtId="10" fontId="2" fillId="0" borderId="52" xfId="0" applyNumberFormat="1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49" xfId="0" applyNumberFormat="1" applyFont="1" applyBorder="1" applyAlignment="1">
      <alignment/>
    </xf>
    <xf numFmtId="3" fontId="7" fillId="0" borderId="17" xfId="0" applyNumberFormat="1" applyFont="1" applyFill="1" applyBorder="1" applyAlignment="1" applyProtection="1">
      <alignment horizontal="left"/>
      <protection locked="0"/>
    </xf>
    <xf numFmtId="3" fontId="0" fillId="0" borderId="53" xfId="0" applyNumberFormat="1" applyFont="1" applyBorder="1" applyAlignment="1">
      <alignment horizontal="center"/>
    </xf>
    <xf numFmtId="5" fontId="0" fillId="0" borderId="13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5" fontId="0" fillId="0" borderId="44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56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61" xfId="0" applyFont="1" applyBorder="1" applyAlignment="1">
      <alignment/>
    </xf>
    <xf numFmtId="0" fontId="0" fillId="33" borderId="0" xfId="0" applyFont="1" applyFill="1" applyBorder="1" applyAlignment="1">
      <alignment/>
    </xf>
    <xf numFmtId="10" fontId="0" fillId="0" borderId="26" xfId="0" applyNumberFormat="1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26" xfId="0" applyFont="1" applyBorder="1" applyAlignment="1">
      <alignment horizontal="center"/>
    </xf>
    <xf numFmtId="3" fontId="0" fillId="0" borderId="62" xfId="0" applyNumberFormat="1" applyFont="1" applyBorder="1" applyAlignment="1">
      <alignment horizontal="center"/>
    </xf>
    <xf numFmtId="0" fontId="0" fillId="34" borderId="58" xfId="0" applyFont="1" applyFill="1" applyBorder="1" applyAlignment="1">
      <alignment/>
    </xf>
    <xf numFmtId="0" fontId="0" fillId="34" borderId="63" xfId="0" applyFont="1" applyFill="1" applyBorder="1" applyAlignment="1">
      <alignment/>
    </xf>
    <xf numFmtId="0" fontId="2" fillId="34" borderId="63" xfId="0" applyFont="1" applyFill="1" applyBorder="1" applyAlignment="1">
      <alignment horizontal="center"/>
    </xf>
    <xf numFmtId="0" fontId="0" fillId="34" borderId="60" xfId="0" applyFont="1" applyFill="1" applyBorder="1" applyAlignment="1">
      <alignment/>
    </xf>
    <xf numFmtId="0" fontId="0" fillId="34" borderId="64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65" xfId="0" applyFont="1" applyFill="1" applyBorder="1" applyAlignment="1">
      <alignment horizontal="center"/>
    </xf>
    <xf numFmtId="0" fontId="0" fillId="0" borderId="66" xfId="0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3" fontId="0" fillId="0" borderId="67" xfId="0" applyNumberFormat="1" applyFont="1" applyBorder="1" applyAlignment="1">
      <alignment horizontal="center"/>
    </xf>
    <xf numFmtId="0" fontId="0" fillId="0" borderId="68" xfId="0" applyFont="1" applyBorder="1" applyAlignment="1">
      <alignment/>
    </xf>
    <xf numFmtId="3" fontId="0" fillId="0" borderId="69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0" fillId="34" borderId="41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0" fontId="0" fillId="34" borderId="61" xfId="0" applyFont="1" applyFill="1" applyBorder="1" applyAlignment="1">
      <alignment horizontal="center"/>
    </xf>
    <xf numFmtId="10" fontId="0" fillId="0" borderId="62" xfId="0" applyNumberFormat="1" applyFont="1" applyBorder="1" applyAlignment="1">
      <alignment horizontal="center"/>
    </xf>
    <xf numFmtId="10" fontId="0" fillId="0" borderId="69" xfId="0" applyNumberFormat="1" applyFont="1" applyBorder="1" applyAlignment="1">
      <alignment horizontal="center"/>
    </xf>
    <xf numFmtId="10" fontId="0" fillId="0" borderId="70" xfId="0" applyNumberFormat="1" applyFont="1" applyBorder="1" applyAlignment="1">
      <alignment horizontal="center"/>
    </xf>
    <xf numFmtId="0" fontId="0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/>
    </xf>
    <xf numFmtId="0" fontId="0" fillId="34" borderId="61" xfId="0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71" xfId="0" applyFont="1" applyBorder="1" applyAlignment="1">
      <alignment/>
    </xf>
    <xf numFmtId="0" fontId="0" fillId="0" borderId="26" xfId="0" applyFont="1" applyBorder="1" applyAlignment="1">
      <alignment/>
    </xf>
    <xf numFmtId="3" fontId="0" fillId="0" borderId="72" xfId="0" applyNumberFormat="1" applyFont="1" applyBorder="1" applyAlignment="1" applyProtection="1">
      <alignment horizontal="center"/>
      <protection locked="0"/>
    </xf>
    <xf numFmtId="0" fontId="0" fillId="0" borderId="73" xfId="0" applyFont="1" applyBorder="1" applyAlignment="1">
      <alignment/>
    </xf>
    <xf numFmtId="3" fontId="0" fillId="0" borderId="60" xfId="0" applyNumberFormat="1" applyFont="1" applyBorder="1" applyAlignment="1">
      <alignment horizontal="center"/>
    </xf>
    <xf numFmtId="3" fontId="0" fillId="0" borderId="72" xfId="0" applyNumberFormat="1" applyFont="1" applyBorder="1" applyAlignment="1">
      <alignment horizontal="center"/>
    </xf>
    <xf numFmtId="0" fontId="0" fillId="0" borderId="74" xfId="0" applyFont="1" applyBorder="1" applyAlignment="1">
      <alignment/>
    </xf>
    <xf numFmtId="3" fontId="0" fillId="0" borderId="52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10" fontId="0" fillId="0" borderId="72" xfId="0" applyNumberFormat="1" applyFont="1" applyBorder="1" applyAlignment="1">
      <alignment horizontal="center"/>
    </xf>
    <xf numFmtId="0" fontId="0" fillId="0" borderId="74" xfId="0" applyFont="1" applyBorder="1" applyAlignment="1">
      <alignment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3" fontId="0" fillId="0" borderId="77" xfId="0" applyNumberFormat="1" applyFont="1" applyBorder="1" applyAlignment="1">
      <alignment horizontal="center"/>
    </xf>
    <xf numFmtId="0" fontId="0" fillId="34" borderId="78" xfId="0" applyFont="1" applyFill="1" applyBorder="1" applyAlignment="1">
      <alignment/>
    </xf>
    <xf numFmtId="0" fontId="0" fillId="0" borderId="79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80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34" borderId="0" xfId="0" applyNumberFormat="1" applyFont="1" applyFill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8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82" xfId="0" applyNumberFormat="1" applyFont="1" applyBorder="1" applyAlignment="1">
      <alignment/>
    </xf>
    <xf numFmtId="0" fontId="10" fillId="0" borderId="63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3" fontId="3" fillId="0" borderId="83" xfId="0" applyNumberFormat="1" applyFont="1" applyBorder="1" applyAlignment="1" applyProtection="1">
      <alignment horizontal="center"/>
      <protection locked="0"/>
    </xf>
    <xf numFmtId="3" fontId="3" fillId="0" borderId="84" xfId="0" applyNumberFormat="1" applyFont="1" applyBorder="1" applyAlignment="1" applyProtection="1">
      <alignment horizontal="center"/>
      <protection locked="0"/>
    </xf>
    <xf numFmtId="165" fontId="3" fillId="0" borderId="84" xfId="0" applyNumberFormat="1" applyFont="1" applyBorder="1" applyAlignment="1" applyProtection="1">
      <alignment horizontal="center"/>
      <protection locked="0"/>
    </xf>
    <xf numFmtId="3" fontId="3" fillId="0" borderId="85" xfId="0" applyNumberFormat="1" applyFont="1" applyBorder="1" applyAlignment="1" applyProtection="1">
      <alignment horizontal="center"/>
      <protection locked="0"/>
    </xf>
    <xf numFmtId="0" fontId="0" fillId="0" borderId="85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86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34" borderId="12" xfId="0" applyNumberFormat="1" applyFont="1" applyFill="1" applyBorder="1" applyAlignment="1">
      <alignment horizontal="center"/>
    </xf>
    <xf numFmtId="3" fontId="3" fillId="0" borderId="87" xfId="0" applyNumberFormat="1" applyFont="1" applyBorder="1" applyAlignment="1" applyProtection="1">
      <alignment horizontal="center"/>
      <protection locked="0"/>
    </xf>
    <xf numFmtId="5" fontId="0" fillId="0" borderId="88" xfId="0" applyNumberFormat="1" applyFont="1" applyBorder="1" applyAlignment="1">
      <alignment horizontal="center"/>
    </xf>
    <xf numFmtId="0" fontId="0" fillId="0" borderId="89" xfId="0" applyFont="1" applyBorder="1" applyAlignment="1">
      <alignment/>
    </xf>
    <xf numFmtId="166" fontId="3" fillId="0" borderId="90" xfId="0" applyNumberFormat="1" applyFont="1" applyBorder="1" applyAlignment="1">
      <alignment horizontal="center"/>
    </xf>
    <xf numFmtId="166" fontId="3" fillId="0" borderId="91" xfId="0" applyNumberFormat="1" applyFont="1" applyBorder="1" applyAlignment="1">
      <alignment horizontal="center"/>
    </xf>
    <xf numFmtId="0" fontId="3" fillId="0" borderId="91" xfId="0" applyNumberFormat="1" applyFont="1" applyBorder="1" applyAlignment="1">
      <alignment/>
    </xf>
    <xf numFmtId="10" fontId="3" fillId="0" borderId="90" xfId="0" applyNumberFormat="1" applyFont="1" applyBorder="1" applyAlignment="1">
      <alignment horizontal="center"/>
    </xf>
    <xf numFmtId="166" fontId="3" fillId="0" borderId="92" xfId="0" applyNumberFormat="1" applyFont="1" applyBorder="1" applyAlignment="1">
      <alignment horizontal="center"/>
    </xf>
    <xf numFmtId="174" fontId="0" fillId="0" borderId="0" xfId="42" applyNumberFormat="1" applyFont="1" applyAlignment="1">
      <alignment/>
    </xf>
    <xf numFmtId="10" fontId="2" fillId="0" borderId="93" xfId="59" applyNumberFormat="1" applyFont="1" applyBorder="1" applyAlignment="1">
      <alignment horizontal="center"/>
    </xf>
    <xf numFmtId="0" fontId="12" fillId="0" borderId="94" xfId="0" applyFont="1" applyBorder="1" applyAlignment="1">
      <alignment/>
    </xf>
    <xf numFmtId="0" fontId="2" fillId="0" borderId="95" xfId="0" applyFont="1" applyBorder="1" applyAlignment="1">
      <alignment/>
    </xf>
    <xf numFmtId="0" fontId="2" fillId="34" borderId="64" xfId="0" applyFont="1" applyFill="1" applyBorder="1" applyAlignment="1">
      <alignment/>
    </xf>
    <xf numFmtId="0" fontId="0" fillId="0" borderId="41" xfId="0" applyNumberFormat="1" applyFont="1" applyBorder="1" applyAlignment="1">
      <alignment/>
    </xf>
    <xf numFmtId="0" fontId="5" fillId="0" borderId="96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99" xfId="0" applyFont="1" applyBorder="1" applyAlignment="1">
      <alignment/>
    </xf>
    <xf numFmtId="0" fontId="0" fillId="34" borderId="66" xfId="0" applyNumberFormat="1" applyFont="1" applyFill="1" applyBorder="1" applyAlignment="1">
      <alignment/>
    </xf>
    <xf numFmtId="0" fontId="0" fillId="0" borderId="100" xfId="0" applyFont="1" applyBorder="1" applyAlignment="1">
      <alignment/>
    </xf>
    <xf numFmtId="0" fontId="0" fillId="0" borderId="96" xfId="0" applyNumberFormat="1" applyFont="1" applyBorder="1" applyAlignment="1" applyProtection="1">
      <alignment horizontal="left"/>
      <protection locked="0"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0" fontId="1" fillId="0" borderId="41" xfId="0" applyFont="1" applyBorder="1" applyAlignment="1">
      <alignment/>
    </xf>
    <xf numFmtId="0" fontId="8" fillId="0" borderId="58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103" xfId="0" applyFont="1" applyBorder="1" applyAlignment="1">
      <alignment/>
    </xf>
    <xf numFmtId="0" fontId="0" fillId="34" borderId="65" xfId="0" applyNumberFormat="1" applyFont="1" applyFill="1" applyBorder="1" applyAlignment="1">
      <alignment/>
    </xf>
    <xf numFmtId="0" fontId="0" fillId="0" borderId="71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3" fontId="3" fillId="0" borderId="104" xfId="0" applyNumberFormat="1" applyFont="1" applyBorder="1" applyAlignment="1" applyProtection="1">
      <alignment horizontal="center"/>
      <protection locked="0"/>
    </xf>
    <xf numFmtId="3" fontId="3" fillId="0" borderId="105" xfId="0" applyNumberFormat="1" applyFont="1" applyBorder="1" applyAlignment="1" applyProtection="1">
      <alignment horizontal="center"/>
      <protection locked="0"/>
    </xf>
    <xf numFmtId="3" fontId="3" fillId="0" borderId="106" xfId="0" applyNumberFormat="1" applyFont="1" applyBorder="1" applyAlignment="1" applyProtection="1">
      <alignment horizontal="center"/>
      <protection locked="0"/>
    </xf>
    <xf numFmtId="0" fontId="0" fillId="0" borderId="107" xfId="0" applyFont="1" applyBorder="1" applyAlignment="1">
      <alignment/>
    </xf>
    <xf numFmtId="0" fontId="0" fillId="0" borderId="108" xfId="0" applyFont="1" applyBorder="1" applyAlignment="1">
      <alignment/>
    </xf>
    <xf numFmtId="0" fontId="0" fillId="34" borderId="65" xfId="0" applyFont="1" applyFill="1" applyBorder="1" applyAlignment="1">
      <alignment/>
    </xf>
    <xf numFmtId="0" fontId="2" fillId="34" borderId="109" xfId="0" applyFont="1" applyFill="1" applyBorder="1" applyAlignment="1">
      <alignment horizontal="center"/>
    </xf>
    <xf numFmtId="3" fontId="2" fillId="0" borderId="110" xfId="0" applyNumberFormat="1" applyFont="1" applyBorder="1" applyAlignment="1">
      <alignment horizontal="center"/>
    </xf>
    <xf numFmtId="3" fontId="2" fillId="0" borderId="104" xfId="0" applyNumberFormat="1" applyFont="1" applyBorder="1" applyAlignment="1">
      <alignment horizontal="center"/>
    </xf>
    <xf numFmtId="3" fontId="2" fillId="0" borderId="105" xfId="0" applyNumberFormat="1" applyFont="1" applyBorder="1" applyAlignment="1">
      <alignment horizontal="center"/>
    </xf>
    <xf numFmtId="164" fontId="2" fillId="0" borderId="71" xfId="0" applyNumberFormat="1" applyFont="1" applyBorder="1" applyAlignment="1">
      <alignment horizontal="center"/>
    </xf>
    <xf numFmtId="164" fontId="2" fillId="0" borderId="111" xfId="0" applyNumberFormat="1" applyFont="1" applyBorder="1" applyAlignment="1">
      <alignment horizontal="center"/>
    </xf>
    <xf numFmtId="9" fontId="3" fillId="0" borderId="112" xfId="0" applyNumberFormat="1" applyFont="1" applyBorder="1" applyAlignment="1" applyProtection="1">
      <alignment horizontal="center"/>
      <protection locked="0"/>
    </xf>
    <xf numFmtId="3" fontId="3" fillId="0" borderId="61" xfId="0" applyNumberFormat="1" applyFont="1" applyBorder="1" applyAlignment="1">
      <alignment horizontal="center"/>
    </xf>
    <xf numFmtId="9" fontId="3" fillId="0" borderId="108" xfId="0" applyNumberFormat="1" applyFont="1" applyBorder="1" applyAlignment="1" applyProtection="1">
      <alignment horizontal="center"/>
      <protection locked="0"/>
    </xf>
    <xf numFmtId="9" fontId="3" fillId="0" borderId="61" xfId="0" applyNumberFormat="1" applyFont="1" applyBorder="1" applyAlignment="1" applyProtection="1">
      <alignment horizontal="center"/>
      <protection locked="0"/>
    </xf>
    <xf numFmtId="9" fontId="3" fillId="0" borderId="113" xfId="0" applyNumberFormat="1" applyFont="1" applyBorder="1" applyAlignment="1" applyProtection="1">
      <alignment horizontal="center"/>
      <protection locked="0"/>
    </xf>
    <xf numFmtId="167" fontId="3" fillId="0" borderId="113" xfId="0" applyNumberFormat="1" applyFont="1" applyBorder="1" applyAlignment="1">
      <alignment horizontal="center"/>
    </xf>
    <xf numFmtId="0" fontId="0" fillId="0" borderId="61" xfId="0" applyNumberFormat="1" applyFont="1" applyBorder="1" applyAlignment="1">
      <alignment/>
    </xf>
    <xf numFmtId="0" fontId="10" fillId="0" borderId="60" xfId="0" applyFont="1" applyBorder="1" applyAlignment="1">
      <alignment/>
    </xf>
    <xf numFmtId="0" fontId="10" fillId="0" borderId="61" xfId="0" applyFont="1" applyBorder="1" applyAlignment="1">
      <alignment/>
    </xf>
    <xf numFmtId="0" fontId="0" fillId="0" borderId="61" xfId="0" applyNumberFormat="1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114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14" fontId="18" fillId="0" borderId="0" xfId="0" applyNumberFormat="1" applyFont="1" applyBorder="1" applyAlignment="1">
      <alignment/>
    </xf>
    <xf numFmtId="0" fontId="15" fillId="0" borderId="44" xfId="0" applyFont="1" applyBorder="1" applyAlignment="1">
      <alignment/>
    </xf>
    <xf numFmtId="0" fontId="16" fillId="0" borderId="44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78" xfId="0" applyFont="1" applyBorder="1" applyAlignment="1">
      <alignment/>
    </xf>
    <xf numFmtId="0" fontId="16" fillId="0" borderId="78" xfId="0" applyFont="1" applyBorder="1" applyAlignment="1">
      <alignment/>
    </xf>
    <xf numFmtId="0" fontId="8" fillId="0" borderId="68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111" xfId="0" applyFont="1" applyBorder="1" applyAlignment="1">
      <alignment/>
    </xf>
    <xf numFmtId="0" fontId="0" fillId="35" borderId="13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3" fontId="3" fillId="35" borderId="25" xfId="0" applyNumberFormat="1" applyFont="1" applyFill="1" applyBorder="1" applyAlignment="1" applyProtection="1">
      <alignment horizontal="center"/>
      <protection locked="0"/>
    </xf>
    <xf numFmtId="0" fontId="0" fillId="35" borderId="21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3" fontId="3" fillId="35" borderId="26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3" fontId="0" fillId="0" borderId="38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115" xfId="0" applyNumberFormat="1" applyFont="1" applyBorder="1" applyAlignment="1">
      <alignment horizontal="center"/>
    </xf>
    <xf numFmtId="166" fontId="3" fillId="0" borderId="116" xfId="0" applyNumberFormat="1" applyFont="1" applyBorder="1" applyAlignment="1">
      <alignment horizontal="center"/>
    </xf>
    <xf numFmtId="5" fontId="0" fillId="0" borderId="117" xfId="0" applyNumberFormat="1" applyFont="1" applyBorder="1" applyAlignment="1">
      <alignment horizontal="center"/>
    </xf>
    <xf numFmtId="0" fontId="5" fillId="0" borderId="118" xfId="0" applyFont="1" applyBorder="1" applyAlignment="1">
      <alignment/>
    </xf>
    <xf numFmtId="0" fontId="0" fillId="0" borderId="40" xfId="0" applyFont="1" applyBorder="1" applyAlignment="1">
      <alignment horizontal="center"/>
    </xf>
    <xf numFmtId="166" fontId="3" fillId="0" borderId="34" xfId="0" applyNumberFormat="1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5" fontId="0" fillId="0" borderId="120" xfId="0" applyNumberFormat="1" applyFont="1" applyBorder="1" applyAlignment="1">
      <alignment horizontal="center"/>
    </xf>
    <xf numFmtId="0" fontId="2" fillId="34" borderId="36" xfId="0" applyNumberFormat="1" applyFont="1" applyFill="1" applyBorder="1" applyAlignment="1">
      <alignment horizontal="center"/>
    </xf>
    <xf numFmtId="3" fontId="0" fillId="0" borderId="121" xfId="0" applyNumberFormat="1" applyFont="1" applyBorder="1" applyAlignment="1" applyProtection="1">
      <alignment horizontal="center"/>
      <protection locked="0"/>
    </xf>
    <xf numFmtId="3" fontId="0" fillId="0" borderId="85" xfId="0" applyNumberFormat="1" applyFont="1" applyBorder="1" applyAlignment="1">
      <alignment horizontal="center"/>
    </xf>
    <xf numFmtId="0" fontId="0" fillId="35" borderId="121" xfId="0" applyFont="1" applyFill="1" applyBorder="1" applyAlignment="1">
      <alignment horizontal="center"/>
    </xf>
    <xf numFmtId="0" fontId="0" fillId="35" borderId="85" xfId="0" applyFont="1" applyFill="1" applyBorder="1" applyAlignment="1">
      <alignment horizontal="center"/>
    </xf>
    <xf numFmtId="3" fontId="3" fillId="35" borderId="122" xfId="0" applyNumberFormat="1" applyFont="1" applyFill="1" applyBorder="1" applyAlignment="1" applyProtection="1">
      <alignment horizontal="center"/>
      <protection locked="0"/>
    </xf>
    <xf numFmtId="3" fontId="3" fillId="0" borderId="122" xfId="0" applyNumberFormat="1" applyFont="1" applyBorder="1" applyAlignment="1" applyProtection="1">
      <alignment horizontal="center"/>
      <protection locked="0"/>
    </xf>
    <xf numFmtId="3" fontId="3" fillId="0" borderId="123" xfId="0" applyNumberFormat="1" applyFont="1" applyBorder="1" applyAlignment="1" applyProtection="1">
      <alignment horizontal="center"/>
      <protection locked="0"/>
    </xf>
    <xf numFmtId="3" fontId="0" fillId="0" borderId="43" xfId="0" applyNumberFormat="1" applyFont="1" applyBorder="1" applyAlignment="1">
      <alignment horizontal="center"/>
    </xf>
    <xf numFmtId="3" fontId="0" fillId="0" borderId="124" xfId="0" applyNumberFormat="1" applyFont="1" applyBorder="1" applyAlignment="1" applyProtection="1">
      <alignment horizontal="center"/>
      <protection locked="0"/>
    </xf>
    <xf numFmtId="3" fontId="0" fillId="0" borderId="124" xfId="0" applyNumberFormat="1" applyFont="1" applyBorder="1" applyAlignment="1">
      <alignment horizontal="center"/>
    </xf>
    <xf numFmtId="37" fontId="0" fillId="0" borderId="124" xfId="0" applyNumberFormat="1" applyFont="1" applyBorder="1" applyAlignment="1">
      <alignment horizontal="center"/>
    </xf>
    <xf numFmtId="3" fontId="4" fillId="0" borderId="125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3" fontId="3" fillId="0" borderId="124" xfId="0" applyNumberFormat="1" applyFont="1" applyBorder="1" applyAlignment="1" applyProtection="1">
      <alignment horizontal="center"/>
      <protection locked="0"/>
    </xf>
    <xf numFmtId="3" fontId="3" fillId="0" borderId="125" xfId="0" applyNumberFormat="1" applyFont="1" applyBorder="1" applyAlignment="1" applyProtection="1">
      <alignment horizontal="center"/>
      <protection locked="0"/>
    </xf>
    <xf numFmtId="0" fontId="0" fillId="0" borderId="124" xfId="0" applyNumberFormat="1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3" fontId="3" fillId="0" borderId="124" xfId="0" applyNumberFormat="1" applyFont="1" applyBorder="1" applyAlignment="1">
      <alignment horizontal="center"/>
    </xf>
    <xf numFmtId="3" fontId="0" fillId="0" borderId="126" xfId="0" applyNumberFormat="1" applyFont="1" applyBorder="1" applyAlignment="1">
      <alignment horizontal="center"/>
    </xf>
    <xf numFmtId="0" fontId="0" fillId="0" borderId="127" xfId="0" applyFont="1" applyBorder="1" applyAlignment="1">
      <alignment/>
    </xf>
    <xf numFmtId="0" fontId="0" fillId="0" borderId="128" xfId="0" applyFont="1" applyBorder="1" applyAlignment="1">
      <alignment/>
    </xf>
    <xf numFmtId="0" fontId="0" fillId="0" borderId="129" xfId="0" applyFont="1" applyBorder="1" applyAlignment="1">
      <alignment/>
    </xf>
    <xf numFmtId="0" fontId="0" fillId="0" borderId="130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131" xfId="0" applyFont="1" applyBorder="1" applyAlignment="1">
      <alignment/>
    </xf>
    <xf numFmtId="0" fontId="0" fillId="0" borderId="132" xfId="0" applyFont="1" applyBorder="1" applyAlignment="1">
      <alignment/>
    </xf>
    <xf numFmtId="0" fontId="0" fillId="0" borderId="133" xfId="0" applyFont="1" applyBorder="1" applyAlignment="1">
      <alignment/>
    </xf>
    <xf numFmtId="0" fontId="2" fillId="0" borderId="133" xfId="0" applyFont="1" applyBorder="1" applyAlignment="1">
      <alignment horizontal="center"/>
    </xf>
    <xf numFmtId="0" fontId="2" fillId="0" borderId="133" xfId="0" applyFont="1" applyBorder="1" applyAlignment="1">
      <alignment/>
    </xf>
    <xf numFmtId="0" fontId="2" fillId="0" borderId="131" xfId="0" applyFont="1" applyBorder="1" applyAlignment="1">
      <alignment/>
    </xf>
    <xf numFmtId="0" fontId="0" fillId="0" borderId="131" xfId="0" applyNumberFormat="1" applyFont="1" applyBorder="1" applyAlignment="1">
      <alignment/>
    </xf>
    <xf numFmtId="0" fontId="2" fillId="0" borderId="132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124" xfId="0" applyFont="1" applyBorder="1" applyAlignment="1">
      <alignment horizontal="center"/>
    </xf>
    <xf numFmtId="3" fontId="3" fillId="0" borderId="134" xfId="0" applyNumberFormat="1" applyFont="1" applyBorder="1" applyAlignment="1" applyProtection="1">
      <alignment horizontal="center"/>
      <protection locked="0"/>
    </xf>
    <xf numFmtId="3" fontId="3" fillId="0" borderId="135" xfId="0" applyNumberFormat="1" applyFont="1" applyBorder="1" applyAlignment="1" applyProtection="1">
      <alignment horizontal="center"/>
      <protection locked="0"/>
    </xf>
    <xf numFmtId="0" fontId="0" fillId="0" borderId="126" xfId="0" applyNumberFormat="1" applyFont="1" applyBorder="1" applyAlignment="1">
      <alignment/>
    </xf>
    <xf numFmtId="3" fontId="0" fillId="0" borderId="136" xfId="0" applyNumberFormat="1" applyFont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0" fillId="0" borderId="137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38" xfId="0" applyFont="1" applyBorder="1" applyAlignment="1">
      <alignment/>
    </xf>
    <xf numFmtId="0" fontId="0" fillId="0" borderId="101" xfId="0" applyFont="1" applyBorder="1" applyAlignment="1">
      <alignment horizontal="center"/>
    </xf>
    <xf numFmtId="0" fontId="5" fillId="0" borderId="119" xfId="0" applyFont="1" applyBorder="1" applyAlignment="1">
      <alignment/>
    </xf>
    <xf numFmtId="0" fontId="0" fillId="0" borderId="125" xfId="0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117" xfId="0" applyNumberFormat="1" applyFont="1" applyBorder="1" applyAlignment="1">
      <alignment horizontal="center"/>
    </xf>
    <xf numFmtId="4" fontId="0" fillId="0" borderId="139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2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13" xfId="0" applyNumberFormat="1" applyFont="1" applyBorder="1" applyAlignment="1">
      <alignment horizontal="center"/>
    </xf>
    <xf numFmtId="4" fontId="0" fillId="0" borderId="44" xfId="0" applyNumberFormat="1" applyFont="1" applyBorder="1" applyAlignment="1">
      <alignment horizontal="center"/>
    </xf>
    <xf numFmtId="9" fontId="0" fillId="0" borderId="72" xfId="0" applyNumberFormat="1" applyFont="1" applyBorder="1" applyAlignment="1">
      <alignment horizontal="center"/>
    </xf>
    <xf numFmtId="0" fontId="5" fillId="0" borderId="14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3" fillId="35" borderId="26" xfId="0" applyNumberFormat="1" applyFont="1" applyFill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3" fontId="0" fillId="0" borderId="86" xfId="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3" fontId="2" fillId="0" borderId="40" xfId="0" applyNumberFormat="1" applyFont="1" applyFill="1" applyBorder="1" applyAlignment="1">
      <alignment horizontal="center"/>
    </xf>
    <xf numFmtId="0" fontId="2" fillId="0" borderId="41" xfId="0" applyNumberFormat="1" applyFont="1" applyFill="1" applyBorder="1" applyAlignment="1">
      <alignment/>
    </xf>
    <xf numFmtId="3" fontId="2" fillId="0" borderId="141" xfId="0" applyNumberFormat="1" applyFont="1" applyFill="1" applyBorder="1" applyAlignment="1" applyProtection="1">
      <alignment horizontal="center"/>
      <protection locked="0"/>
    </xf>
    <xf numFmtId="3" fontId="19" fillId="35" borderId="10" xfId="0" applyNumberFormat="1" applyFont="1" applyFill="1" applyBorder="1" applyAlignment="1" applyProtection="1">
      <alignment horizontal="right"/>
      <protection locked="0"/>
    </xf>
    <xf numFmtId="0" fontId="0" fillId="35" borderId="142" xfId="0" applyFont="1" applyFill="1" applyBorder="1" applyAlignment="1">
      <alignment horizontal="center"/>
    </xf>
    <xf numFmtId="0" fontId="12" fillId="0" borderId="17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64" fontId="12" fillId="0" borderId="143" xfId="0" applyNumberFormat="1" applyFont="1" applyFill="1" applyBorder="1" applyAlignment="1">
      <alignment/>
    </xf>
    <xf numFmtId="10" fontId="12" fillId="0" borderId="104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10" fontId="12" fillId="0" borderId="105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10" fontId="2" fillId="0" borderId="144" xfId="0" applyNumberFormat="1" applyFont="1" applyFill="1" applyBorder="1" applyAlignment="1">
      <alignment horizontal="center"/>
    </xf>
    <xf numFmtId="3" fontId="2" fillId="35" borderId="39" xfId="0" applyNumberFormat="1" applyFont="1" applyFill="1" applyBorder="1" applyAlignment="1" applyProtection="1">
      <alignment horizontal="center"/>
      <protection locked="0"/>
    </xf>
    <xf numFmtId="3" fontId="2" fillId="35" borderId="40" xfId="0" applyNumberFormat="1" applyFont="1" applyFill="1" applyBorder="1" applyAlignment="1">
      <alignment horizontal="center"/>
    </xf>
    <xf numFmtId="3" fontId="2" fillId="35" borderId="39" xfId="0" applyNumberFormat="1" applyFont="1" applyFill="1" applyBorder="1" applyAlignment="1">
      <alignment horizontal="center"/>
    </xf>
    <xf numFmtId="165" fontId="3" fillId="35" borderId="26" xfId="0" applyNumberFormat="1" applyFont="1" applyFill="1" applyBorder="1" applyAlignment="1" applyProtection="1">
      <alignment horizontal="center"/>
      <protection locked="0"/>
    </xf>
    <xf numFmtId="3" fontId="0" fillId="35" borderId="34" xfId="0" applyNumberFormat="1" applyFont="1" applyFill="1" applyBorder="1" applyAlignment="1">
      <alignment horizontal="center"/>
    </xf>
    <xf numFmtId="3" fontId="0" fillId="35" borderId="34" xfId="0" applyNumberFormat="1" applyFont="1" applyFill="1" applyBorder="1" applyAlignment="1" applyProtection="1">
      <alignment horizontal="center"/>
      <protection locked="0"/>
    </xf>
    <xf numFmtId="37" fontId="0" fillId="35" borderId="34" xfId="0" applyNumberFormat="1" applyFont="1" applyFill="1" applyBorder="1" applyAlignment="1">
      <alignment horizontal="center"/>
    </xf>
    <xf numFmtId="3" fontId="3" fillId="35" borderId="39" xfId="0" applyNumberFormat="1" applyFont="1" applyFill="1" applyBorder="1" applyAlignment="1" applyProtection="1">
      <alignment horizontal="center"/>
      <protection locked="0"/>
    </xf>
    <xf numFmtId="3" fontId="3" fillId="35" borderId="40" xfId="0" applyNumberFormat="1" applyFont="1" applyFill="1" applyBorder="1" applyAlignment="1" applyProtection="1">
      <alignment horizontal="center"/>
      <protection locked="0"/>
    </xf>
    <xf numFmtId="166" fontId="3" fillId="35" borderId="91" xfId="0" applyNumberFormat="1" applyFont="1" applyFill="1" applyBorder="1" applyAlignment="1">
      <alignment horizontal="center"/>
    </xf>
    <xf numFmtId="166" fontId="3" fillId="35" borderId="113" xfId="0" applyNumberFormat="1" applyFont="1" applyFill="1" applyBorder="1" applyAlignment="1" applyProtection="1">
      <alignment horizontal="center"/>
      <protection locked="0"/>
    </xf>
    <xf numFmtId="166" fontId="3" fillId="35" borderId="108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164" fontId="12" fillId="0" borderId="143" xfId="0" applyNumberFormat="1" applyFont="1" applyFill="1" applyBorder="1" applyAlignment="1">
      <alignment horizontal="center"/>
    </xf>
    <xf numFmtId="10" fontId="12" fillId="0" borderId="104" xfId="0" applyNumberFormat="1" applyFont="1" applyFill="1" applyBorder="1" applyAlignment="1">
      <alignment horizontal="center"/>
    </xf>
    <xf numFmtId="10" fontId="12" fillId="0" borderId="105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/>
    </xf>
    <xf numFmtId="10" fontId="12" fillId="0" borderId="144" xfId="0" applyNumberFormat="1" applyFont="1" applyFill="1" applyBorder="1" applyAlignment="1">
      <alignment horizontal="center"/>
    </xf>
    <xf numFmtId="3" fontId="2" fillId="35" borderId="125" xfId="0" applyNumberFormat="1" applyFont="1" applyFill="1" applyBorder="1" applyAlignment="1" applyProtection="1">
      <alignment horizontal="center"/>
      <protection locked="0"/>
    </xf>
    <xf numFmtId="3" fontId="2" fillId="35" borderId="38" xfId="0" applyNumberFormat="1" applyFont="1" applyFill="1" applyBorder="1" applyAlignment="1">
      <alignment horizontal="center"/>
    </xf>
    <xf numFmtId="3" fontId="2" fillId="35" borderId="125" xfId="0" applyNumberFormat="1" applyFont="1" applyFill="1" applyBorder="1" applyAlignment="1">
      <alignment horizontal="center"/>
    </xf>
    <xf numFmtId="3" fontId="3" fillId="35" borderId="134" xfId="0" applyNumberFormat="1" applyFont="1" applyFill="1" applyBorder="1" applyAlignment="1" applyProtection="1">
      <alignment horizontal="center"/>
      <protection locked="0"/>
    </xf>
    <xf numFmtId="37" fontId="0" fillId="0" borderId="34" xfId="0" applyNumberFormat="1" applyFont="1" applyFill="1" applyBorder="1" applyAlignment="1">
      <alignment horizontal="center"/>
    </xf>
    <xf numFmtId="166" fontId="3" fillId="35" borderId="91" xfId="0" applyNumberFormat="1" applyFont="1" applyFill="1" applyBorder="1" applyAlignment="1" applyProtection="1">
      <alignment horizontal="center"/>
      <protection locked="0"/>
    </xf>
    <xf numFmtId="3" fontId="6" fillId="35" borderId="36" xfId="0" applyNumberFormat="1" applyFont="1" applyFill="1" applyBorder="1" applyAlignment="1" applyProtection="1">
      <alignment horizontal="center"/>
      <protection locked="0"/>
    </xf>
    <xf numFmtId="3" fontId="6" fillId="35" borderId="38" xfId="0" applyNumberFormat="1" applyFont="1" applyFill="1" applyBorder="1" applyAlignment="1" applyProtection="1">
      <alignment horizontal="center"/>
      <protection locked="0"/>
    </xf>
    <xf numFmtId="3" fontId="6" fillId="35" borderId="124" xfId="0" applyNumberFormat="1" applyFont="1" applyFill="1" applyBorder="1" applyAlignment="1" applyProtection="1">
      <alignment horizontal="center"/>
      <protection locked="0"/>
    </xf>
    <xf numFmtId="3" fontId="6" fillId="35" borderId="145" xfId="0" applyNumberFormat="1" applyFont="1" applyFill="1" applyBorder="1" applyAlignment="1" applyProtection="1">
      <alignment horizontal="center"/>
      <protection locked="0"/>
    </xf>
    <xf numFmtId="3" fontId="6" fillId="35" borderId="37" xfId="0" applyNumberFormat="1" applyFont="1" applyFill="1" applyBorder="1" applyAlignment="1" applyProtection="1">
      <alignment horizontal="center"/>
      <protection locked="0"/>
    </xf>
    <xf numFmtId="3" fontId="6" fillId="35" borderId="146" xfId="0" applyNumberFormat="1" applyFont="1" applyFill="1" applyBorder="1" applyAlignment="1" applyProtection="1">
      <alignment horizontal="center"/>
      <protection locked="0"/>
    </xf>
    <xf numFmtId="3" fontId="3" fillId="0" borderId="40" xfId="0" applyNumberFormat="1" applyFont="1" applyFill="1" applyBorder="1" applyAlignment="1" applyProtection="1">
      <alignment horizontal="center"/>
      <protection locked="0"/>
    </xf>
    <xf numFmtId="165" fontId="0" fillId="0" borderId="0" xfId="59" applyNumberFormat="1" applyFont="1" applyAlignment="1">
      <alignment/>
    </xf>
    <xf numFmtId="0" fontId="0" fillId="0" borderId="17" xfId="0" applyNumberFormat="1" applyFont="1" applyBorder="1" applyAlignment="1">
      <alignment horizontal="center"/>
    </xf>
    <xf numFmtId="0" fontId="9" fillId="34" borderId="0" xfId="0" applyFont="1" applyFill="1" applyBorder="1" applyAlignment="1">
      <alignment/>
    </xf>
    <xf numFmtId="166" fontId="9" fillId="34" borderId="0" xfId="0" applyNumberFormat="1" applyFont="1" applyFill="1" applyBorder="1" applyAlignment="1">
      <alignment/>
    </xf>
    <xf numFmtId="166" fontId="20" fillId="34" borderId="0" xfId="0" applyNumberFormat="1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166" fontId="9" fillId="34" borderId="61" xfId="0" applyNumberFormat="1" applyFont="1" applyFill="1" applyBorder="1" applyAlignment="1">
      <alignment/>
    </xf>
    <xf numFmtId="166" fontId="0" fillId="35" borderId="61" xfId="59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center"/>
    </xf>
    <xf numFmtId="166" fontId="0" fillId="34" borderId="0" xfId="0" applyNumberFormat="1" applyFont="1" applyFill="1" applyBorder="1" applyAlignment="1">
      <alignment/>
    </xf>
    <xf numFmtId="166" fontId="0" fillId="34" borderId="61" xfId="0" applyNumberFormat="1" applyFont="1" applyFill="1" applyBorder="1" applyAlignment="1">
      <alignment/>
    </xf>
    <xf numFmtId="166" fontId="0" fillId="35" borderId="61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3" fillId="0" borderId="61" xfId="0" applyNumberFormat="1" applyFont="1" applyFill="1" applyBorder="1" applyAlignment="1">
      <alignment horizontal="center"/>
    </xf>
    <xf numFmtId="164" fontId="0" fillId="0" borderId="61" xfId="0" applyNumberFormat="1" applyFont="1" applyFill="1" applyBorder="1" applyAlignment="1">
      <alignment/>
    </xf>
    <xf numFmtId="0" fontId="5" fillId="0" borderId="41" xfId="0" applyFont="1" applyBorder="1" applyAlignment="1">
      <alignment horizontal="left"/>
    </xf>
    <xf numFmtId="0" fontId="5" fillId="0" borderId="41" xfId="0" applyNumberFormat="1" applyFont="1" applyFill="1" applyBorder="1" applyAlignment="1">
      <alignment horizontal="left"/>
    </xf>
    <xf numFmtId="0" fontId="15" fillId="35" borderId="0" xfId="0" applyFont="1" applyFill="1" applyBorder="1" applyAlignment="1" applyProtection="1">
      <alignment/>
      <protection/>
    </xf>
    <xf numFmtId="0" fontId="6" fillId="35" borderId="28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/>
    </xf>
    <xf numFmtId="176" fontId="0" fillId="0" borderId="0" xfId="42" applyNumberFormat="1" applyFont="1" applyAlignment="1">
      <alignment/>
    </xf>
    <xf numFmtId="176" fontId="0" fillId="0" borderId="0" xfId="42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34" borderId="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10" fontId="2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76" fontId="0" fillId="0" borderId="0" xfId="42" applyNumberFormat="1" applyFont="1" applyAlignment="1" quotePrefix="1">
      <alignment/>
    </xf>
    <xf numFmtId="0" fontId="2" fillId="34" borderId="147" xfId="0" applyFont="1" applyFill="1" applyBorder="1" applyAlignment="1">
      <alignment horizontal="right"/>
    </xf>
    <xf numFmtId="37" fontId="2" fillId="34" borderId="26" xfId="0" applyNumberFormat="1" applyFont="1" applyFill="1" applyBorder="1" applyAlignment="1">
      <alignment horizontal="center"/>
    </xf>
    <xf numFmtId="37" fontId="2" fillId="34" borderId="148" xfId="0" applyNumberFormat="1" applyFont="1" applyFill="1" applyBorder="1" applyAlignment="1">
      <alignment horizontal="center"/>
    </xf>
    <xf numFmtId="37" fontId="2" fillId="34" borderId="5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center"/>
    </xf>
    <xf numFmtId="164" fontId="0" fillId="0" borderId="61" xfId="0" applyNumberFormat="1" applyFont="1" applyFill="1" applyBorder="1" applyAlignment="1">
      <alignment horizontal="center"/>
    </xf>
    <xf numFmtId="0" fontId="2" fillId="34" borderId="41" xfId="0" applyFont="1" applyFill="1" applyBorder="1" applyAlignment="1">
      <alignment horizontal="right"/>
    </xf>
    <xf numFmtId="0" fontId="1" fillId="0" borderId="98" xfId="0" applyFont="1" applyBorder="1" applyAlignment="1">
      <alignment/>
    </xf>
    <xf numFmtId="0" fontId="1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61" xfId="0" applyNumberFormat="1" applyFont="1" applyBorder="1" applyAlignment="1">
      <alignment horizontal="center"/>
    </xf>
    <xf numFmtId="0" fontId="3" fillId="35" borderId="149" xfId="0" applyNumberFormat="1" applyFont="1" applyFill="1" applyBorder="1" applyAlignment="1" applyProtection="1">
      <alignment horizontal="center"/>
      <protection locked="0"/>
    </xf>
    <xf numFmtId="3" fontId="3" fillId="35" borderId="149" xfId="0" applyNumberFormat="1" applyFont="1" applyFill="1" applyBorder="1" applyAlignment="1" applyProtection="1">
      <alignment horizontal="center"/>
      <protection locked="0"/>
    </xf>
    <xf numFmtId="0" fontId="0" fillId="0" borderId="54" xfId="0" applyNumberFormat="1" applyFont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150" xfId="0" applyNumberFormat="1" applyFont="1" applyBorder="1" applyAlignment="1">
      <alignment horizontal="center"/>
    </xf>
    <xf numFmtId="3" fontId="2" fillId="34" borderId="15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Border="1" applyAlignment="1">
      <alignment horizontal="center"/>
    </xf>
    <xf numFmtId="0" fontId="0" fillId="0" borderId="71" xfId="0" applyNumberFormat="1" applyFont="1" applyBorder="1" applyAlignment="1">
      <alignment horizontal="center"/>
    </xf>
    <xf numFmtId="3" fontId="6" fillId="35" borderId="40" xfId="0" applyNumberFormat="1" applyFont="1" applyFill="1" applyBorder="1" applyAlignment="1" applyProtection="1">
      <alignment horizontal="center"/>
      <protection locked="0"/>
    </xf>
    <xf numFmtId="3" fontId="6" fillId="35" borderId="112" xfId="0" applyNumberFormat="1" applyFont="1" applyFill="1" applyBorder="1" applyAlignment="1" applyProtection="1">
      <alignment horizontal="center"/>
      <protection locked="0"/>
    </xf>
    <xf numFmtId="0" fontId="0" fillId="0" borderId="40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169" fontId="6" fillId="0" borderId="40" xfId="0" applyNumberFormat="1" applyFont="1" applyBorder="1" applyAlignment="1" applyProtection="1">
      <alignment horizontal="center"/>
      <protection locked="0"/>
    </xf>
    <xf numFmtId="169" fontId="6" fillId="0" borderId="112" xfId="0" applyNumberFormat="1" applyFont="1" applyBorder="1" applyAlignment="1" applyProtection="1">
      <alignment horizontal="center"/>
      <protection locked="0"/>
    </xf>
    <xf numFmtId="9" fontId="6" fillId="0" borderId="40" xfId="0" applyNumberFormat="1" applyFont="1" applyBorder="1" applyAlignment="1" applyProtection="1">
      <alignment horizontal="center"/>
      <protection locked="0"/>
    </xf>
    <xf numFmtId="9" fontId="6" fillId="0" borderId="112" xfId="0" applyNumberFormat="1" applyFont="1" applyBorder="1" applyAlignment="1" applyProtection="1">
      <alignment horizontal="center"/>
      <protection locked="0"/>
    </xf>
    <xf numFmtId="3" fontId="6" fillId="0" borderId="40" xfId="0" applyNumberFormat="1" applyFont="1" applyFill="1" applyBorder="1" applyAlignment="1" applyProtection="1">
      <alignment horizontal="center"/>
      <protection locked="0"/>
    </xf>
    <xf numFmtId="3" fontId="6" fillId="0" borderId="112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107" xfId="0" applyNumberFormat="1" applyFont="1" applyBorder="1" applyAlignment="1" applyProtection="1">
      <alignment horizontal="center"/>
      <protection locked="0"/>
    </xf>
    <xf numFmtId="0" fontId="2" fillId="34" borderId="151" xfId="0" applyNumberFormat="1" applyFont="1" applyFill="1" applyBorder="1" applyAlignment="1">
      <alignment horizontal="center"/>
    </xf>
    <xf numFmtId="0" fontId="2" fillId="34" borderId="12" xfId="0" applyNumberFormat="1" applyFont="1" applyFill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0" fillId="0" borderId="152" xfId="0" applyNumberFormat="1" applyFont="1" applyBorder="1" applyAlignment="1">
      <alignment horizontal="center"/>
    </xf>
    <xf numFmtId="0" fontId="0" fillId="0" borderId="123" xfId="0" applyNumberFormat="1" applyFont="1" applyBorder="1" applyAlignment="1">
      <alignment horizontal="center"/>
    </xf>
    <xf numFmtId="0" fontId="0" fillId="0" borderId="153" xfId="0" applyNumberFormat="1" applyFont="1" applyBorder="1" applyAlignment="1">
      <alignment horizontal="center"/>
    </xf>
    <xf numFmtId="169" fontId="6" fillId="0" borderId="123" xfId="0" applyNumberFormat="1" applyFont="1" applyBorder="1" applyAlignment="1" applyProtection="1">
      <alignment horizontal="center"/>
      <protection locked="0"/>
    </xf>
    <xf numFmtId="169" fontId="6" fillId="0" borderId="106" xfId="0" applyNumberFormat="1" applyFont="1" applyBorder="1" applyAlignment="1" applyProtection="1">
      <alignment horizontal="center"/>
      <protection locked="0"/>
    </xf>
    <xf numFmtId="0" fontId="6" fillId="35" borderId="40" xfId="0" applyFont="1" applyFill="1" applyBorder="1" applyAlignment="1">
      <alignment horizontal="center"/>
    </xf>
    <xf numFmtId="0" fontId="6" fillId="35" borderId="154" xfId="0" applyFont="1" applyFill="1" applyBorder="1" applyAlignment="1">
      <alignment horizontal="center"/>
    </xf>
    <xf numFmtId="0" fontId="6" fillId="35" borderId="40" xfId="0" applyNumberFormat="1" applyFont="1" applyFill="1" applyBorder="1" applyAlignment="1" applyProtection="1">
      <alignment horizontal="center"/>
      <protection locked="0"/>
    </xf>
    <xf numFmtId="0" fontId="6" fillId="35" borderId="11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139"/>
  <sheetViews>
    <sheetView tabSelected="1" zoomScaleSheetLayoutView="100" workbookViewId="0" topLeftCell="A1">
      <selection activeCell="E4" sqref="E4"/>
    </sheetView>
  </sheetViews>
  <sheetFormatPr defaultColWidth="133.8515625" defaultRowHeight="12.75"/>
  <cols>
    <col min="1" max="1" width="3.421875" style="3" customWidth="1"/>
    <col min="2" max="2" width="23.00390625" style="3" customWidth="1"/>
    <col min="3" max="3" width="14.7109375" style="3" customWidth="1"/>
    <col min="4" max="4" width="6.7109375" style="3" customWidth="1"/>
    <col min="5" max="5" width="12.00390625" style="3" customWidth="1"/>
    <col min="6" max="6" width="10.421875" style="3" customWidth="1"/>
    <col min="7" max="7" width="7.140625" style="3" customWidth="1"/>
    <col min="8" max="8" width="10.8515625" style="3" customWidth="1"/>
    <col min="9" max="9" width="15.8515625" style="3" customWidth="1"/>
    <col min="10" max="11" width="17.421875" style="3" customWidth="1"/>
    <col min="12" max="12" width="3.421875" style="14" customWidth="1"/>
    <col min="13" max="13" width="9.140625" style="3" customWidth="1"/>
    <col min="14" max="14" width="15.7109375" style="3" bestFit="1" customWidth="1"/>
    <col min="15" max="15" width="3.140625" style="3" customWidth="1"/>
    <col min="16" max="16" width="10.8515625" style="3" customWidth="1"/>
    <col min="17" max="17" width="12.8515625" style="3" bestFit="1" customWidth="1"/>
    <col min="18" max="18" width="4.140625" style="3" customWidth="1"/>
    <col min="19" max="22" width="11.140625" style="3" customWidth="1"/>
    <col min="23" max="23" width="9.140625" style="3" customWidth="1"/>
    <col min="24" max="24" width="12.421875" style="3" customWidth="1"/>
    <col min="25" max="33" width="9.140625" style="3" customWidth="1"/>
    <col min="34" max="16384" width="133.8515625" style="3" customWidth="1"/>
  </cols>
  <sheetData>
    <row r="1" spans="1:11" ht="1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3" ht="16.5">
      <c r="A2" s="14"/>
      <c r="B2" s="416"/>
      <c r="C2" s="245"/>
      <c r="D2" s="245"/>
      <c r="E2" s="246" t="s">
        <v>0</v>
      </c>
      <c r="F2" s="247"/>
      <c r="G2" s="247"/>
      <c r="H2" s="245"/>
      <c r="I2" s="248" t="s">
        <v>1</v>
      </c>
      <c r="J2" s="268" t="s">
        <v>2</v>
      </c>
      <c r="K2" s="249">
        <f ca="1">TODAY()</f>
        <v>41663</v>
      </c>
      <c r="L2" s="2"/>
      <c r="M2" s="1"/>
    </row>
    <row r="3" spans="1:22" ht="18" thickBot="1">
      <c r="A3" s="14"/>
      <c r="B3" s="250"/>
      <c r="C3" s="251"/>
      <c r="D3" s="251"/>
      <c r="E3" s="251"/>
      <c r="F3" s="251"/>
      <c r="G3" s="251"/>
      <c r="H3" s="250"/>
      <c r="I3" s="251"/>
      <c r="J3" s="251"/>
      <c r="K3" s="251"/>
      <c r="L3" s="2"/>
      <c r="N3" s="13"/>
      <c r="O3" s="13"/>
      <c r="P3" s="13"/>
      <c r="Q3" s="13"/>
      <c r="R3" s="13"/>
      <c r="S3" s="13"/>
      <c r="T3" s="13"/>
      <c r="U3" s="13"/>
      <c r="V3" s="13"/>
    </row>
    <row r="4" spans="1:22" ht="17.25" customHeight="1" thickBot="1" thickTop="1">
      <c r="A4" s="14"/>
      <c r="B4" s="199"/>
      <c r="C4" s="176"/>
      <c r="D4" s="176"/>
      <c r="E4" s="177"/>
      <c r="F4" s="177"/>
      <c r="G4" s="177"/>
      <c r="H4" s="350">
        <v>29</v>
      </c>
      <c r="I4" s="5" t="s">
        <v>154</v>
      </c>
      <c r="J4" s="383" t="s">
        <v>6</v>
      </c>
      <c r="K4" s="384">
        <f>C51/C7</f>
        <v>0.08818332</v>
      </c>
      <c r="L4" s="6"/>
      <c r="N4" s="13"/>
      <c r="O4" s="13"/>
      <c r="P4" s="424"/>
      <c r="Q4" s="13"/>
      <c r="R4" s="13"/>
      <c r="S4" s="13"/>
      <c r="T4" s="13"/>
      <c r="U4" s="13"/>
      <c r="V4" s="13"/>
    </row>
    <row r="5" spans="1:22" ht="13.5" thickBot="1" thickTop="1">
      <c r="A5" s="14"/>
      <c r="B5" s="200" t="s">
        <v>8</v>
      </c>
      <c r="C5" s="456"/>
      <c r="D5" s="456"/>
      <c r="E5" s="456"/>
      <c r="F5" s="7"/>
      <c r="G5" s="7"/>
      <c r="H5" s="457" t="s">
        <v>188</v>
      </c>
      <c r="I5" s="457"/>
      <c r="J5" s="7"/>
      <c r="K5" s="351" t="s">
        <v>166</v>
      </c>
      <c r="L5" s="6"/>
      <c r="N5" s="13"/>
      <c r="O5" s="13"/>
      <c r="P5" s="13"/>
      <c r="Q5" s="13"/>
      <c r="R5" s="13"/>
      <c r="S5" s="13"/>
      <c r="T5" s="13"/>
      <c r="U5" s="13"/>
      <c r="V5" s="13"/>
    </row>
    <row r="6" spans="1:22" ht="15" customHeight="1" thickBot="1">
      <c r="A6" s="14"/>
      <c r="B6" s="201" t="s">
        <v>9</v>
      </c>
      <c r="C6" s="8"/>
      <c r="D6" s="8"/>
      <c r="E6" s="8"/>
      <c r="F6" s="9"/>
      <c r="G6" s="9"/>
      <c r="H6" s="10" t="s">
        <v>10</v>
      </c>
      <c r="I6" s="8"/>
      <c r="J6" s="8"/>
      <c r="K6" s="217"/>
      <c r="L6" s="6"/>
      <c r="N6" s="13"/>
      <c r="O6" s="13"/>
      <c r="P6" s="13"/>
      <c r="Q6" s="13"/>
      <c r="R6" s="13"/>
      <c r="S6" s="13"/>
      <c r="T6" s="13"/>
      <c r="U6" s="13"/>
      <c r="V6" s="13"/>
    </row>
    <row r="7" spans="1:22" ht="15" customHeight="1">
      <c r="A7" s="14"/>
      <c r="B7" s="346" t="s">
        <v>11</v>
      </c>
      <c r="C7" s="385">
        <v>1250000</v>
      </c>
      <c r="D7" s="339"/>
      <c r="E7" s="11"/>
      <c r="F7" s="12"/>
      <c r="G7" s="189"/>
      <c r="H7" s="352" t="str">
        <f>IF(P7="apartment","Purchase Price Per Unit","Purchase Price Per Unit")</f>
        <v>Purchase Price Per Unit</v>
      </c>
      <c r="I7" s="353"/>
      <c r="J7" s="353"/>
      <c r="K7" s="380">
        <f>C7/H4</f>
        <v>43103.44827586207</v>
      </c>
      <c r="N7" s="13"/>
      <c r="O7" s="13"/>
      <c r="P7" s="265"/>
      <c r="Q7" s="13"/>
      <c r="R7" s="13"/>
      <c r="S7" s="13"/>
      <c r="T7" s="13"/>
      <c r="U7" s="13"/>
      <c r="V7" s="13"/>
    </row>
    <row r="8" spans="1:22" ht="15" customHeight="1">
      <c r="A8" s="14"/>
      <c r="B8" s="346" t="s">
        <v>170</v>
      </c>
      <c r="C8" s="386">
        <f>SUM(C7*0.7)</f>
        <v>875000</v>
      </c>
      <c r="D8" s="340"/>
      <c r="E8" s="15" t="s">
        <v>12</v>
      </c>
      <c r="F8" s="16">
        <f>C7*0.2</f>
        <v>250000</v>
      </c>
      <c r="G8" s="185"/>
      <c r="H8" s="352" t="s">
        <v>13</v>
      </c>
      <c r="I8" s="353"/>
      <c r="J8" s="353"/>
      <c r="K8" s="381">
        <f>K4</f>
        <v>0.08818332</v>
      </c>
      <c r="N8" s="13"/>
      <c r="O8" s="13"/>
      <c r="P8" s="13"/>
      <c r="Q8" s="13"/>
      <c r="R8" s="13"/>
      <c r="S8" s="13"/>
      <c r="T8" s="13"/>
      <c r="U8" s="13"/>
      <c r="V8" s="13"/>
    </row>
    <row r="9" spans="1:22" ht="15" customHeight="1">
      <c r="A9" s="14"/>
      <c r="B9" s="348" t="s">
        <v>14</v>
      </c>
      <c r="C9" s="378">
        <f>SUM(C7*0.3)</f>
        <v>375000</v>
      </c>
      <c r="D9" s="340"/>
      <c r="E9" s="15" t="s">
        <v>15</v>
      </c>
      <c r="F9" s="17">
        <f>C7-F8</f>
        <v>1000000</v>
      </c>
      <c r="G9" s="183"/>
      <c r="H9" s="356" t="s">
        <v>16</v>
      </c>
      <c r="I9" s="357"/>
      <c r="J9" s="353"/>
      <c r="K9" s="381">
        <f>C89</f>
        <v>0.11051844417823947</v>
      </c>
      <c r="N9" s="13"/>
      <c r="O9" s="13"/>
      <c r="P9" s="13"/>
      <c r="Q9" s="13"/>
      <c r="R9" s="13"/>
      <c r="S9" s="13"/>
      <c r="T9" s="13"/>
      <c r="U9" s="13"/>
      <c r="V9" s="13"/>
    </row>
    <row r="10" spans="1:22" ht="15" customHeight="1">
      <c r="A10" s="14"/>
      <c r="B10" s="348" t="s">
        <v>17</v>
      </c>
      <c r="C10" s="386">
        <f>SUM(C8*0.025)</f>
        <v>21875</v>
      </c>
      <c r="D10" s="340"/>
      <c r="E10" s="15" t="s">
        <v>18</v>
      </c>
      <c r="F10" s="18">
        <f>C31</f>
        <v>0</v>
      </c>
      <c r="G10" s="57"/>
      <c r="H10" s="352" t="s">
        <v>19</v>
      </c>
      <c r="I10" s="353"/>
      <c r="J10" s="353"/>
      <c r="K10" s="381">
        <f>AVERAGE(C89:K89)</f>
        <v>0.109004730125104</v>
      </c>
      <c r="N10" s="406"/>
      <c r="O10" s="406"/>
      <c r="P10" s="425"/>
      <c r="Q10" s="406"/>
      <c r="R10" s="406"/>
      <c r="S10" s="406"/>
      <c r="T10" s="13"/>
      <c r="U10" s="13"/>
      <c r="V10" s="13"/>
    </row>
    <row r="11" spans="1:22" ht="15" customHeight="1">
      <c r="A11" s="14"/>
      <c r="B11" s="348" t="s">
        <v>199</v>
      </c>
      <c r="C11" s="387"/>
      <c r="D11" s="341">
        <v>462500</v>
      </c>
      <c r="E11" s="19" t="s">
        <v>20</v>
      </c>
      <c r="F11" s="20">
        <f>C8/C7</f>
        <v>0.7</v>
      </c>
      <c r="G11" s="186"/>
      <c r="H11" s="352" t="s">
        <v>21</v>
      </c>
      <c r="I11" s="353"/>
      <c r="J11" s="353"/>
      <c r="K11" s="381">
        <f>N106</f>
        <v>0.1625803976380218</v>
      </c>
      <c r="N11" s="426"/>
      <c r="O11" s="426"/>
      <c r="P11" s="13"/>
      <c r="Q11" s="426"/>
      <c r="R11" s="426"/>
      <c r="S11" s="427"/>
      <c r="T11" s="13"/>
      <c r="U11" s="13"/>
      <c r="V11" s="13"/>
    </row>
    <row r="12" spans="1:22" ht="15" customHeight="1" thickBot="1">
      <c r="A12" s="14"/>
      <c r="B12" s="346" t="s">
        <v>22</v>
      </c>
      <c r="C12" s="379">
        <f>SUM(C9:C11)</f>
        <v>396875</v>
      </c>
      <c r="D12" s="342"/>
      <c r="E12" s="19" t="s">
        <v>23</v>
      </c>
      <c r="F12" s="21">
        <f>C51/C52</f>
        <v>1.6608994436547617</v>
      </c>
      <c r="G12" s="187"/>
      <c r="H12" s="352"/>
      <c r="I12" s="357"/>
      <c r="J12" s="353"/>
      <c r="K12" s="382"/>
      <c r="N12" s="426"/>
      <c r="O12" s="426"/>
      <c r="P12" s="13"/>
      <c r="Q12" s="426"/>
      <c r="R12" s="426"/>
      <c r="S12" s="427"/>
      <c r="T12" s="13"/>
      <c r="U12" s="13"/>
      <c r="V12" s="13"/>
    </row>
    <row r="13" spans="1:22" ht="15" customHeight="1">
      <c r="A13" s="14"/>
      <c r="B13" s="338" t="s">
        <v>24</v>
      </c>
      <c r="C13" s="310" t="s">
        <v>25</v>
      </c>
      <c r="D13" s="259" t="s">
        <v>139</v>
      </c>
      <c r="E13" s="23" t="s">
        <v>26</v>
      </c>
      <c r="F13" s="23" t="s">
        <v>27</v>
      </c>
      <c r="G13" s="262" t="s">
        <v>142</v>
      </c>
      <c r="H13" s="23" t="s">
        <v>28</v>
      </c>
      <c r="I13" s="23" t="s">
        <v>29</v>
      </c>
      <c r="J13" s="24" t="s">
        <v>30</v>
      </c>
      <c r="K13" s="218" t="s">
        <v>31</v>
      </c>
      <c r="L13" s="6"/>
      <c r="N13" s="426"/>
      <c r="O13" s="426"/>
      <c r="P13" s="13"/>
      <c r="Q13" s="426"/>
      <c r="R13" s="426"/>
      <c r="S13" s="427"/>
      <c r="T13" s="13"/>
      <c r="U13" s="13"/>
      <c r="V13" s="13"/>
    </row>
    <row r="14" spans="1:22" ht="15" customHeight="1">
      <c r="A14" s="14"/>
      <c r="B14" s="203"/>
      <c r="C14" s="311" t="s">
        <v>32</v>
      </c>
      <c r="D14" s="260" t="s">
        <v>140</v>
      </c>
      <c r="E14" s="26" t="s">
        <v>33</v>
      </c>
      <c r="F14" s="26" t="s">
        <v>34</v>
      </c>
      <c r="G14" s="263" t="s">
        <v>143</v>
      </c>
      <c r="H14" s="26" t="s">
        <v>35</v>
      </c>
      <c r="I14" s="26" t="s">
        <v>36</v>
      </c>
      <c r="J14" s="27" t="s">
        <v>37</v>
      </c>
      <c r="K14" s="219" t="s">
        <v>38</v>
      </c>
      <c r="L14" s="28" t="s">
        <v>39</v>
      </c>
      <c r="N14" s="426"/>
      <c r="O14" s="426"/>
      <c r="P14" s="13"/>
      <c r="Q14" s="426"/>
      <c r="R14" s="426"/>
      <c r="S14" s="427"/>
      <c r="T14" s="13"/>
      <c r="U14" s="13"/>
      <c r="V14" s="13"/>
    </row>
    <row r="15" spans="1:22" ht="15" customHeight="1">
      <c r="A15" s="14"/>
      <c r="B15" s="204" t="s">
        <v>186</v>
      </c>
      <c r="C15" s="388">
        <f>+C8</f>
        <v>875000</v>
      </c>
      <c r="D15" s="261" t="s">
        <v>141</v>
      </c>
      <c r="E15" s="264">
        <v>30</v>
      </c>
      <c r="F15" s="264">
        <v>12</v>
      </c>
      <c r="G15" s="264">
        <v>10</v>
      </c>
      <c r="H15" s="364">
        <v>0.065</v>
      </c>
      <c r="I15" s="32">
        <f>IF(C15&gt;0,IF(D15="y",C15*H15/12,PMT(H15/12,E15*F15,-C15))," ")</f>
        <v>5530.595205563433</v>
      </c>
      <c r="J15" s="33">
        <f>I15*F15</f>
        <v>66367.1424667612</v>
      </c>
      <c r="K15" s="220">
        <f>IF(C15&gt;0,C7*0.015," ")</f>
        <v>18750</v>
      </c>
      <c r="L15" s="6"/>
      <c r="N15" s="426"/>
      <c r="O15" s="426"/>
      <c r="P15" s="13"/>
      <c r="Q15" s="426"/>
      <c r="R15" s="426"/>
      <c r="S15" s="427"/>
      <c r="T15" s="13"/>
      <c r="U15" s="13"/>
      <c r="V15" s="13"/>
    </row>
    <row r="16" spans="1:22" ht="15" customHeight="1">
      <c r="A16" s="14"/>
      <c r="B16" s="204" t="s">
        <v>187</v>
      </c>
      <c r="C16" s="312">
        <v>0</v>
      </c>
      <c r="D16" s="261"/>
      <c r="E16" s="30">
        <v>0</v>
      </c>
      <c r="F16" s="30">
        <v>0</v>
      </c>
      <c r="G16" s="264"/>
      <c r="H16" s="31">
        <v>0</v>
      </c>
      <c r="I16" s="86">
        <f>IF(C16&gt;0,IF(D16="y",C16*H16/12,PMT(H16/12,E16*F16,-C16)),0)</f>
        <v>0</v>
      </c>
      <c r="J16" s="33">
        <f>+I16*F16</f>
        <v>0</v>
      </c>
      <c r="K16" s="220" t="str">
        <f>IF(C16&gt;0,C16*0.02," ")</f>
        <v> </v>
      </c>
      <c r="L16" s="6"/>
      <c r="N16" s="428"/>
      <c r="O16" s="428"/>
      <c r="P16" s="341"/>
      <c r="Q16" s="428"/>
      <c r="R16" s="428"/>
      <c r="S16" s="427"/>
      <c r="T16" s="13"/>
      <c r="U16" s="13"/>
      <c r="V16" s="13"/>
    </row>
    <row r="17" spans="1:22" ht="15" customHeight="1">
      <c r="A17" s="14"/>
      <c r="B17" s="204" t="s">
        <v>144</v>
      </c>
      <c r="C17" s="388">
        <f>+C15</f>
        <v>875000</v>
      </c>
      <c r="D17" s="261" t="s">
        <v>141</v>
      </c>
      <c r="E17" s="264">
        <v>30</v>
      </c>
      <c r="F17" s="264">
        <v>12</v>
      </c>
      <c r="G17" s="264">
        <v>10</v>
      </c>
      <c r="H17" s="364">
        <v>0.065</v>
      </c>
      <c r="I17" s="32">
        <f>IF(C17&gt;0,IF(D17="y",C17*H17/12,PMT(H17/12,E17*F17,-C17))," ")</f>
        <v>5530.595205563433</v>
      </c>
      <c r="J17" s="33">
        <f>IF(+C17&gt;0,+I17*F17," ")</f>
        <v>66367.1424667612</v>
      </c>
      <c r="K17" s="220">
        <f>IF(C17&gt;0,C7*0.015," ")</f>
        <v>18750</v>
      </c>
      <c r="L17" s="6"/>
      <c r="N17" s="426"/>
      <c r="O17" s="426"/>
      <c r="P17" s="13"/>
      <c r="Q17" s="426"/>
      <c r="R17" s="426"/>
      <c r="S17" s="13"/>
      <c r="T17" s="13"/>
      <c r="U17" s="13"/>
      <c r="V17" s="13"/>
    </row>
    <row r="18" spans="1:22" ht="15" customHeight="1">
      <c r="A18" s="14"/>
      <c r="B18" s="204" t="s">
        <v>40</v>
      </c>
      <c r="C18" s="312">
        <v>0</v>
      </c>
      <c r="D18" s="29"/>
      <c r="E18" s="30">
        <v>0</v>
      </c>
      <c r="F18" s="30">
        <v>0</v>
      </c>
      <c r="G18" s="30"/>
      <c r="H18" s="31">
        <v>0</v>
      </c>
      <c r="I18" s="86">
        <f>IF(C18&gt;0,IF(D18="y",C18*H18/12,PMT(H18/12,E18*F18,-C18)),0)</f>
        <v>0</v>
      </c>
      <c r="J18" s="33">
        <f>+I18*F18</f>
        <v>0</v>
      </c>
      <c r="K18" s="221" t="str">
        <f>IF(C18&gt;0,C18*0.02," ")</f>
        <v> </v>
      </c>
      <c r="L18" s="6"/>
      <c r="N18" s="426"/>
      <c r="O18" s="426"/>
      <c r="P18" s="13"/>
      <c r="Q18" s="426"/>
      <c r="R18" s="426"/>
      <c r="S18" s="427"/>
      <c r="T18" s="13"/>
      <c r="U18" s="13"/>
      <c r="V18" s="13"/>
    </row>
    <row r="19" spans="1:22" ht="15" customHeight="1" thickBot="1">
      <c r="A19" s="14"/>
      <c r="B19" s="205" t="s">
        <v>41</v>
      </c>
      <c r="C19" s="313">
        <v>0</v>
      </c>
      <c r="D19" s="178"/>
      <c r="E19" s="179">
        <v>0</v>
      </c>
      <c r="F19" s="179">
        <v>0</v>
      </c>
      <c r="G19" s="179"/>
      <c r="H19" s="180">
        <v>0</v>
      </c>
      <c r="I19" s="86">
        <f>IF(C19&gt;0,IF(D19="y",C19*H19/12,PMT(H19/12,E19*F19,-C19)),0)</f>
        <v>0</v>
      </c>
      <c r="J19" s="33">
        <f>+I19*F19</f>
        <v>0</v>
      </c>
      <c r="K19" s="222">
        <f>C19*0.02</f>
        <v>0</v>
      </c>
      <c r="L19" s="6"/>
      <c r="N19" s="426"/>
      <c r="O19" s="426"/>
      <c r="P19" s="13"/>
      <c r="Q19" s="426"/>
      <c r="R19" s="426"/>
      <c r="S19" s="427"/>
      <c r="T19" s="13"/>
      <c r="U19" s="13"/>
      <c r="V19" s="13"/>
    </row>
    <row r="20" spans="1:22" ht="15" customHeight="1">
      <c r="A20" s="14"/>
      <c r="B20" s="450" t="s">
        <v>191</v>
      </c>
      <c r="C20" s="184"/>
      <c r="D20" s="184"/>
      <c r="E20" s="184"/>
      <c r="F20" s="184"/>
      <c r="G20" s="184"/>
      <c r="H20" s="184"/>
      <c r="I20" s="184"/>
      <c r="J20" s="184"/>
      <c r="K20" s="223"/>
      <c r="L20" s="6"/>
      <c r="N20" s="426"/>
      <c r="O20" s="426"/>
      <c r="P20" s="13"/>
      <c r="Q20" s="426"/>
      <c r="R20" s="426"/>
      <c r="S20" s="427"/>
      <c r="T20" s="13"/>
      <c r="U20" s="13"/>
      <c r="V20" s="13"/>
    </row>
    <row r="21" spans="1:22" ht="15" customHeight="1" thickBot="1">
      <c r="A21" s="14"/>
      <c r="B21" s="207" t="s">
        <v>42</v>
      </c>
      <c r="C21" s="417" t="s">
        <v>43</v>
      </c>
      <c r="D21" s="35"/>
      <c r="E21" s="36"/>
      <c r="F21" s="36"/>
      <c r="G21" s="36"/>
      <c r="H21" s="36"/>
      <c r="I21" s="36"/>
      <c r="J21" s="36"/>
      <c r="K21" s="224"/>
      <c r="L21" s="6"/>
      <c r="N21" s="426"/>
      <c r="O21" s="426"/>
      <c r="P21" s="13"/>
      <c r="Q21" s="426"/>
      <c r="R21" s="426"/>
      <c r="S21" s="427"/>
      <c r="T21" s="13"/>
      <c r="U21" s="13"/>
      <c r="V21" s="13"/>
    </row>
    <row r="22" spans="1:22" ht="15" customHeight="1" thickBot="1">
      <c r="A22" s="14"/>
      <c r="B22" s="208"/>
      <c r="C22" s="37" t="s">
        <v>44</v>
      </c>
      <c r="D22" s="37"/>
      <c r="E22" s="9"/>
      <c r="F22" s="38"/>
      <c r="G22" s="9"/>
      <c r="H22" s="39"/>
      <c r="I22" s="8"/>
      <c r="J22" s="40" t="s">
        <v>45</v>
      </c>
      <c r="K22" s="225"/>
      <c r="L22" s="6"/>
      <c r="N22" s="426"/>
      <c r="O22" s="426"/>
      <c r="P22" s="13"/>
      <c r="Q22" s="426"/>
      <c r="R22" s="426"/>
      <c r="S22" s="427"/>
      <c r="T22" s="13"/>
      <c r="U22" s="13"/>
      <c r="V22" s="13"/>
    </row>
    <row r="23" spans="1:22" ht="15" customHeight="1" thickBot="1">
      <c r="A23" s="14"/>
      <c r="B23" s="208"/>
      <c r="C23" s="41" t="s">
        <v>46</v>
      </c>
      <c r="D23" s="277"/>
      <c r="E23" s="42" t="s">
        <v>47</v>
      </c>
      <c r="F23" s="43" t="str">
        <f>IF(J2="Apartment","Per Unit","Per SF")</f>
        <v>Per Unit</v>
      </c>
      <c r="G23" s="188"/>
      <c r="H23" s="44" t="s">
        <v>48</v>
      </c>
      <c r="I23" s="45" t="s">
        <v>49</v>
      </c>
      <c r="J23" s="46" t="s">
        <v>167</v>
      </c>
      <c r="K23" s="226" t="s">
        <v>50</v>
      </c>
      <c r="L23" s="6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5" customHeight="1">
      <c r="A24" s="14"/>
      <c r="B24" s="209" t="s">
        <v>51</v>
      </c>
      <c r="C24" s="411">
        <v>224604</v>
      </c>
      <c r="D24" s="287"/>
      <c r="E24" s="192">
        <f>C24/$C$29</f>
        <v>0.9353856200140639</v>
      </c>
      <c r="F24" s="48">
        <f>C24/$K$42</f>
        <v>6806.181818181818</v>
      </c>
      <c r="G24" s="68"/>
      <c r="H24" s="394">
        <v>20</v>
      </c>
      <c r="I24" s="49" t="s">
        <v>193</v>
      </c>
      <c r="J24" s="391"/>
      <c r="K24" s="227">
        <f aca="true" t="shared" si="0" ref="K24:K29">J24*H24</f>
        <v>0</v>
      </c>
      <c r="L24" s="6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5" customHeight="1">
      <c r="A25" s="14"/>
      <c r="B25" s="204" t="s">
        <v>192</v>
      </c>
      <c r="C25" s="366">
        <v>28153</v>
      </c>
      <c r="D25" s="286"/>
      <c r="E25" s="193">
        <f>C25/$C$29</f>
        <v>0.11724595893330457</v>
      </c>
      <c r="F25" s="48">
        <f aca="true" t="shared" si="1" ref="F25:F53">C25/$K$42</f>
        <v>853.1212121212121</v>
      </c>
      <c r="G25" s="68"/>
      <c r="H25" s="395">
        <v>3</v>
      </c>
      <c r="I25" s="51" t="s">
        <v>194</v>
      </c>
      <c r="J25" s="392"/>
      <c r="K25" s="228">
        <f t="shared" si="0"/>
        <v>0</v>
      </c>
      <c r="L25" s="6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5" customHeight="1">
      <c r="A26" s="14"/>
      <c r="B26" s="204" t="s">
        <v>52</v>
      </c>
      <c r="C26" s="47">
        <f>SUM(C24:C25)</f>
        <v>252757</v>
      </c>
      <c r="D26" s="287"/>
      <c r="E26" s="193">
        <f>C26/$C$29</f>
        <v>1.0526315789473684</v>
      </c>
      <c r="F26" s="48">
        <f t="shared" si="1"/>
        <v>7659.30303030303</v>
      </c>
      <c r="G26" s="68"/>
      <c r="H26" s="395">
        <v>3</v>
      </c>
      <c r="I26" s="51" t="s">
        <v>195</v>
      </c>
      <c r="J26" s="392"/>
      <c r="K26" s="228">
        <f t="shared" si="0"/>
        <v>0</v>
      </c>
      <c r="L26" s="6"/>
      <c r="N26" s="13"/>
      <c r="O26" s="13"/>
      <c r="P26" s="13"/>
      <c r="Q26" s="13"/>
      <c r="R26" s="13"/>
      <c r="S26" s="429"/>
      <c r="T26" s="75"/>
      <c r="U26" s="418"/>
      <c r="V26" s="13"/>
    </row>
    <row r="27" spans="1:22" ht="15" customHeight="1">
      <c r="A27" s="14"/>
      <c r="B27" s="204" t="s">
        <v>53</v>
      </c>
      <c r="C27" s="367">
        <f>SUM(C26*0.05)</f>
        <v>12637.85</v>
      </c>
      <c r="D27" s="288"/>
      <c r="E27" s="390">
        <v>0.05</v>
      </c>
      <c r="F27" s="48" t="e">
        <f>#REF!/$K$42*-1</f>
        <v>#REF!</v>
      </c>
      <c r="G27" s="68"/>
      <c r="H27" s="395">
        <v>2</v>
      </c>
      <c r="I27" s="51" t="s">
        <v>196</v>
      </c>
      <c r="J27" s="392"/>
      <c r="K27" s="228">
        <f t="shared" si="0"/>
        <v>0</v>
      </c>
      <c r="L27" s="6"/>
      <c r="N27" s="13"/>
      <c r="O27" s="13"/>
      <c r="P27" s="13"/>
      <c r="Q27" s="13"/>
      <c r="R27" s="13"/>
      <c r="S27" s="429"/>
      <c r="T27" s="13"/>
      <c r="U27" s="13"/>
      <c r="V27" s="13"/>
    </row>
    <row r="28" spans="1:22" ht="15" customHeight="1">
      <c r="A28" s="14"/>
      <c r="B28" s="210" t="s">
        <v>54</v>
      </c>
      <c r="D28" s="288"/>
      <c r="E28" s="193"/>
      <c r="F28" s="48">
        <f>C27/$K$42*-1</f>
        <v>-382.96515151515155</v>
      </c>
      <c r="G28" s="68"/>
      <c r="H28" s="395">
        <v>1</v>
      </c>
      <c r="I28" s="51" t="s">
        <v>197</v>
      </c>
      <c r="J28" s="392"/>
      <c r="K28" s="228">
        <f t="shared" si="0"/>
        <v>0</v>
      </c>
      <c r="L28" s="6"/>
      <c r="N28" s="13"/>
      <c r="O28" s="13"/>
      <c r="P28" s="13"/>
      <c r="Q28" s="13"/>
      <c r="R28" s="13"/>
      <c r="S28" s="429"/>
      <c r="T28" s="13"/>
      <c r="U28" s="13"/>
      <c r="V28" s="13"/>
    </row>
    <row r="29" spans="1:22" ht="15" customHeight="1">
      <c r="A29" s="14"/>
      <c r="B29" s="211" t="s">
        <v>55</v>
      </c>
      <c r="C29" s="328">
        <f>SUM(C26-C27)</f>
        <v>240119.15</v>
      </c>
      <c r="D29" s="289"/>
      <c r="E29" s="270"/>
      <c r="F29" s="271">
        <f t="shared" si="1"/>
        <v>7276.337878787878</v>
      </c>
      <c r="G29" s="68"/>
      <c r="H29" s="396" t="s">
        <v>198</v>
      </c>
      <c r="J29" s="393"/>
      <c r="K29" s="228" t="e">
        <f t="shared" si="0"/>
        <v>#VALUE!</v>
      </c>
      <c r="L29" s="6"/>
      <c r="N29" s="13"/>
      <c r="O29" s="13"/>
      <c r="P29" s="13"/>
      <c r="Q29" s="13"/>
      <c r="R29" s="13"/>
      <c r="S29" s="429"/>
      <c r="T29" s="75"/>
      <c r="U29" s="418"/>
      <c r="V29" s="13"/>
    </row>
    <row r="30" spans="1:22" ht="15" customHeight="1">
      <c r="A30" s="14"/>
      <c r="B30" s="326"/>
      <c r="C30" s="54"/>
      <c r="D30" s="327"/>
      <c r="E30" s="270"/>
      <c r="F30" s="271"/>
      <c r="G30" s="68"/>
      <c r="H30" s="395">
        <f>SUM(H24:H28)</f>
        <v>29</v>
      </c>
      <c r="I30" s="51"/>
      <c r="J30" s="392"/>
      <c r="K30" s="228"/>
      <c r="L30" s="6"/>
      <c r="N30" s="13"/>
      <c r="O30" s="13"/>
      <c r="P30" s="13"/>
      <c r="Q30" s="13"/>
      <c r="R30" s="13"/>
      <c r="S30" s="430"/>
      <c r="T30" s="75"/>
      <c r="U30" s="418"/>
      <c r="V30" s="13"/>
    </row>
    <row r="31" spans="1:22" ht="15" customHeight="1">
      <c r="A31" s="14"/>
      <c r="B31" s="56" t="s">
        <v>171</v>
      </c>
      <c r="C31" s="368"/>
      <c r="D31" s="291"/>
      <c r="E31" s="193">
        <f>C31/$C$29</f>
        <v>0</v>
      </c>
      <c r="F31" s="48">
        <f t="shared" si="1"/>
        <v>0</v>
      </c>
      <c r="G31" s="68"/>
      <c r="H31" s="50"/>
      <c r="I31" s="51"/>
      <c r="J31" s="52"/>
      <c r="K31" s="228">
        <f>J31*H31</f>
        <v>0</v>
      </c>
      <c r="L31" s="6"/>
      <c r="N31" s="13"/>
      <c r="O31" s="13"/>
      <c r="P31" s="13"/>
      <c r="Q31" s="13"/>
      <c r="R31" s="13"/>
      <c r="S31" s="431"/>
      <c r="T31" s="418"/>
      <c r="U31" s="432"/>
      <c r="V31" s="13"/>
    </row>
    <row r="32" spans="1:22" ht="15" customHeight="1">
      <c r="A32" s="14"/>
      <c r="B32" s="56" t="s">
        <v>56</v>
      </c>
      <c r="C32" s="369"/>
      <c r="D32" s="291"/>
      <c r="E32" s="193">
        <f aca="true" t="shared" si="2" ref="E32:E45">C32/$C$29</f>
        <v>0</v>
      </c>
      <c r="F32" s="48">
        <f t="shared" si="1"/>
        <v>0</v>
      </c>
      <c r="G32" s="68"/>
      <c r="H32" s="50"/>
      <c r="I32" s="51"/>
      <c r="J32" s="52"/>
      <c r="K32" s="228">
        <f>J32</f>
        <v>0</v>
      </c>
      <c r="L32" s="6"/>
      <c r="N32" s="83"/>
      <c r="O32" s="451"/>
      <c r="P32" s="13"/>
      <c r="Q32" s="238"/>
      <c r="R32" s="13"/>
      <c r="S32" s="431"/>
      <c r="T32" s="13"/>
      <c r="U32" s="13"/>
      <c r="V32" s="13"/>
    </row>
    <row r="33" spans="1:22" ht="15" customHeight="1">
      <c r="A33" s="14"/>
      <c r="B33" s="414" t="s">
        <v>190</v>
      </c>
      <c r="C33" s="369"/>
      <c r="D33" s="291"/>
      <c r="E33" s="193">
        <f t="shared" si="2"/>
        <v>0</v>
      </c>
      <c r="F33" s="48">
        <f>C33/$K$42</f>
        <v>0</v>
      </c>
      <c r="G33" s="68"/>
      <c r="H33" s="50"/>
      <c r="I33" s="51"/>
      <c r="J33" s="52"/>
      <c r="K33" s="228">
        <f>J33</f>
        <v>0</v>
      </c>
      <c r="L33" s="6"/>
      <c r="R33" s="13"/>
      <c r="S33" s="431"/>
      <c r="T33" s="13"/>
      <c r="U33" s="13"/>
      <c r="V33" s="13"/>
    </row>
    <row r="34" spans="1:22" ht="15" customHeight="1">
      <c r="A34" s="14"/>
      <c r="B34" s="56" t="s">
        <v>189</v>
      </c>
      <c r="C34" s="369"/>
      <c r="D34" s="291"/>
      <c r="E34" s="193">
        <f>SUM(C34/C29)</f>
        <v>0</v>
      </c>
      <c r="F34" s="48">
        <f t="shared" si="1"/>
        <v>0</v>
      </c>
      <c r="G34" s="68"/>
      <c r="H34" s="50"/>
      <c r="I34" s="51"/>
      <c r="J34" s="52"/>
      <c r="K34" s="228">
        <f>J34</f>
        <v>0</v>
      </c>
      <c r="L34" s="6"/>
      <c r="R34" s="13"/>
      <c r="S34" s="431"/>
      <c r="T34" s="13"/>
      <c r="U34" s="13"/>
      <c r="V34" s="13"/>
    </row>
    <row r="35" spans="1:22" ht="15" customHeight="1" thickBot="1">
      <c r="A35" s="14"/>
      <c r="B35" s="56" t="s">
        <v>70</v>
      </c>
      <c r="C35" s="369"/>
      <c r="D35" s="291"/>
      <c r="E35" s="193">
        <f>SUM(C35/C29)</f>
        <v>0</v>
      </c>
      <c r="F35" s="48">
        <f t="shared" si="1"/>
        <v>0</v>
      </c>
      <c r="G35" s="68"/>
      <c r="H35" s="58"/>
      <c r="I35" s="59"/>
      <c r="J35" s="60"/>
      <c r="K35" s="229">
        <f>J35</f>
        <v>0</v>
      </c>
      <c r="L35" s="6"/>
      <c r="N35" s="25"/>
      <c r="O35" s="453"/>
      <c r="P35" s="454"/>
      <c r="Q35" s="454"/>
      <c r="R35" s="413"/>
      <c r="S35" s="430"/>
      <c r="T35" s="13"/>
      <c r="U35" s="13"/>
      <c r="V35" s="13"/>
    </row>
    <row r="36" spans="1:22" ht="15" customHeight="1">
      <c r="A36" s="14"/>
      <c r="B36" s="56" t="s">
        <v>172</v>
      </c>
      <c r="C36" s="369"/>
      <c r="D36" s="291"/>
      <c r="E36" s="193">
        <f>SUM(C36/C29)</f>
        <v>0</v>
      </c>
      <c r="F36" s="48">
        <f t="shared" si="1"/>
        <v>0</v>
      </c>
      <c r="G36" s="68"/>
      <c r="H36" s="62"/>
      <c r="I36" s="63"/>
      <c r="J36" s="64" t="s">
        <v>57</v>
      </c>
      <c r="K36" s="230">
        <v>17385</v>
      </c>
      <c r="L36" s="6"/>
      <c r="N36" s="13"/>
      <c r="O36" s="453"/>
      <c r="P36" s="454"/>
      <c r="Q36" s="454"/>
      <c r="R36" s="455"/>
      <c r="S36" s="419"/>
      <c r="T36" s="75"/>
      <c r="U36" s="418"/>
      <c r="V36" s="13"/>
    </row>
    <row r="37" spans="1:22" ht="15" customHeight="1" thickBot="1">
      <c r="A37" s="14"/>
      <c r="B37" s="56" t="s">
        <v>173</v>
      </c>
      <c r="C37" s="369"/>
      <c r="D37" s="291"/>
      <c r="E37" s="193">
        <f t="shared" si="2"/>
        <v>0</v>
      </c>
      <c r="F37" s="48">
        <f t="shared" si="1"/>
        <v>0</v>
      </c>
      <c r="G37" s="68"/>
      <c r="H37" s="65"/>
      <c r="I37" s="66"/>
      <c r="J37" s="67" t="s">
        <v>59</v>
      </c>
      <c r="K37" s="231">
        <f>K36*12</f>
        <v>208620</v>
      </c>
      <c r="L37" s="6"/>
      <c r="N37" s="13"/>
      <c r="O37" s="341"/>
      <c r="P37" s="13"/>
      <c r="Q37" s="13"/>
      <c r="R37" s="13"/>
      <c r="S37" s="419"/>
      <c r="T37" s="433"/>
      <c r="U37" s="418"/>
      <c r="V37" s="13"/>
    </row>
    <row r="38" spans="1:22" ht="15" customHeight="1">
      <c r="A38" s="14"/>
      <c r="B38" s="56" t="s">
        <v>174</v>
      </c>
      <c r="C38" s="369"/>
      <c r="D38" s="291"/>
      <c r="E38" s="193">
        <v>0.006</v>
      </c>
      <c r="F38" s="68">
        <f t="shared" si="1"/>
        <v>0</v>
      </c>
      <c r="G38" s="190"/>
      <c r="H38" s="461" t="s">
        <v>61</v>
      </c>
      <c r="I38" s="462"/>
      <c r="J38" s="462"/>
      <c r="K38" s="463"/>
      <c r="L38" s="6"/>
      <c r="N38" s="334"/>
      <c r="O38" s="452"/>
      <c r="P38" s="332"/>
      <c r="Q38" s="13"/>
      <c r="R38" s="13"/>
      <c r="S38" s="419"/>
      <c r="T38" s="433"/>
      <c r="U38" s="418"/>
      <c r="V38" s="13"/>
    </row>
    <row r="39" spans="1:22" ht="15" customHeight="1">
      <c r="A39" s="14"/>
      <c r="B39" s="56" t="s">
        <v>175</v>
      </c>
      <c r="C39" s="369"/>
      <c r="D39" s="291"/>
      <c r="E39" s="193">
        <f>SUM(C39/C29)</f>
        <v>0</v>
      </c>
      <c r="F39" s="68">
        <f t="shared" si="1"/>
        <v>0</v>
      </c>
      <c r="G39" s="190"/>
      <c r="H39" s="69" t="s">
        <v>62</v>
      </c>
      <c r="I39" s="70"/>
      <c r="J39" s="71"/>
      <c r="K39" s="372">
        <v>0.03</v>
      </c>
      <c r="L39" s="6"/>
      <c r="M39" s="316"/>
      <c r="N39" s="13"/>
      <c r="O39" s="13"/>
      <c r="P39" s="13"/>
      <c r="Q39" s="13"/>
      <c r="R39" s="13"/>
      <c r="S39" s="419"/>
      <c r="T39" s="75"/>
      <c r="U39" s="418"/>
      <c r="V39" s="13"/>
    </row>
    <row r="40" spans="1:22" ht="15" customHeight="1">
      <c r="A40" s="14"/>
      <c r="B40" s="56" t="s">
        <v>176</v>
      </c>
      <c r="C40" s="369"/>
      <c r="D40" s="291"/>
      <c r="E40" s="193">
        <f>SUM(C40/C29)</f>
        <v>0</v>
      </c>
      <c r="F40" s="68">
        <f t="shared" si="1"/>
        <v>0</v>
      </c>
      <c r="G40" s="190"/>
      <c r="H40" s="72" t="s">
        <v>64</v>
      </c>
      <c r="I40" s="73"/>
      <c r="J40" s="74"/>
      <c r="K40" s="371">
        <v>0.03</v>
      </c>
      <c r="L40" s="6"/>
      <c r="M40" s="317"/>
      <c r="N40" s="419"/>
      <c r="O40" s="419"/>
      <c r="P40" s="75"/>
      <c r="Q40" s="418"/>
      <c r="R40" s="418"/>
      <c r="S40" s="419"/>
      <c r="T40" s="75"/>
      <c r="U40" s="418"/>
      <c r="V40" s="13"/>
    </row>
    <row r="41" spans="1:22" ht="15" customHeight="1">
      <c r="A41" s="14"/>
      <c r="B41" s="56" t="s">
        <v>177</v>
      </c>
      <c r="C41" s="369"/>
      <c r="D41" s="291"/>
      <c r="E41" s="193">
        <f t="shared" si="2"/>
        <v>0</v>
      </c>
      <c r="F41" s="68">
        <f t="shared" si="1"/>
        <v>0</v>
      </c>
      <c r="G41" s="190"/>
      <c r="H41" s="76" t="s">
        <v>65</v>
      </c>
      <c r="I41" s="77"/>
      <c r="J41" s="78"/>
      <c r="K41" s="232">
        <v>0</v>
      </c>
      <c r="L41" s="6"/>
      <c r="M41" s="318"/>
      <c r="N41" s="434"/>
      <c r="O41" s="434"/>
      <c r="P41" s="75"/>
      <c r="Q41" s="418"/>
      <c r="R41" s="418"/>
      <c r="S41" s="419"/>
      <c r="T41" s="75"/>
      <c r="U41" s="418"/>
      <c r="V41" s="13"/>
    </row>
    <row r="42" spans="1:22" ht="15" customHeight="1">
      <c r="A42" s="14"/>
      <c r="B42" s="56">
        <v>0</v>
      </c>
      <c r="C42" s="369"/>
      <c r="D42" s="291"/>
      <c r="E42" s="193">
        <f t="shared" si="2"/>
        <v>0</v>
      </c>
      <c r="F42" s="68">
        <f t="shared" si="1"/>
        <v>0</v>
      </c>
      <c r="G42" s="190"/>
      <c r="H42" s="79" t="str">
        <f>IF(J2="Apartment","Number of Units","SF of NRA")</f>
        <v>Number of Units</v>
      </c>
      <c r="I42" s="13"/>
      <c r="J42" s="57"/>
      <c r="K42" s="412">
        <v>33</v>
      </c>
      <c r="L42" s="6"/>
      <c r="M42" s="319"/>
      <c r="N42" s="419"/>
      <c r="O42" s="419"/>
      <c r="P42" s="435"/>
      <c r="Q42" s="436"/>
      <c r="R42" s="436"/>
      <c r="S42" s="419"/>
      <c r="T42" s="75"/>
      <c r="U42" s="418"/>
      <c r="V42" s="13"/>
    </row>
    <row r="43" spans="1:22" ht="15" customHeight="1">
      <c r="A43" s="14"/>
      <c r="B43" s="56" t="s">
        <v>178</v>
      </c>
      <c r="C43" s="369"/>
      <c r="D43" s="291"/>
      <c r="E43" s="193">
        <f t="shared" si="2"/>
        <v>0</v>
      </c>
      <c r="F43" s="68">
        <f t="shared" si="1"/>
        <v>0</v>
      </c>
      <c r="G43" s="190"/>
      <c r="H43" s="79" t="s">
        <v>66</v>
      </c>
      <c r="I43" s="13"/>
      <c r="J43" s="57"/>
      <c r="K43" s="412">
        <v>7</v>
      </c>
      <c r="L43" s="6"/>
      <c r="M43" s="316"/>
      <c r="N43" s="419"/>
      <c r="O43" s="419"/>
      <c r="P43" s="435"/>
      <c r="Q43" s="436"/>
      <c r="R43" s="436"/>
      <c r="S43" s="419"/>
      <c r="T43" s="75"/>
      <c r="U43" s="418"/>
      <c r="V43" s="13"/>
    </row>
    <row r="44" spans="1:22" ht="15" customHeight="1">
      <c r="A44" s="14"/>
      <c r="B44" s="56" t="s">
        <v>179</v>
      </c>
      <c r="C44" s="369"/>
      <c r="D44" s="291"/>
      <c r="E44" s="193">
        <f t="shared" si="2"/>
        <v>0</v>
      </c>
      <c r="F44" s="68">
        <f t="shared" si="1"/>
        <v>0</v>
      </c>
      <c r="G44" s="190"/>
      <c r="H44" s="81" t="s">
        <v>67</v>
      </c>
      <c r="I44" s="70"/>
      <c r="J44" s="71"/>
      <c r="K44" s="234">
        <v>0.3</v>
      </c>
      <c r="L44" s="6"/>
      <c r="M44" s="316"/>
      <c r="N44" s="13"/>
      <c r="O44" s="13"/>
      <c r="P44" s="13"/>
      <c r="Q44" s="13"/>
      <c r="R44" s="13"/>
      <c r="S44" s="419"/>
      <c r="T44" s="75"/>
      <c r="U44" s="418"/>
      <c r="V44" s="13"/>
    </row>
    <row r="45" spans="1:22" ht="15" customHeight="1">
      <c r="A45" s="14"/>
      <c r="B45" s="415"/>
      <c r="C45" s="369"/>
      <c r="D45" s="291"/>
      <c r="E45" s="193">
        <f t="shared" si="2"/>
        <v>0</v>
      </c>
      <c r="F45" s="68">
        <f>C45/$K$42</f>
        <v>0</v>
      </c>
      <c r="G45" s="190"/>
      <c r="H45" s="79" t="s">
        <v>68</v>
      </c>
      <c r="I45" s="13"/>
      <c r="J45" s="57"/>
      <c r="K45" s="235">
        <v>0.15</v>
      </c>
      <c r="L45" s="6"/>
      <c r="N45" s="13"/>
      <c r="O45" s="13"/>
      <c r="P45" s="13"/>
      <c r="Q45" s="13"/>
      <c r="R45" s="13"/>
      <c r="S45" s="419"/>
      <c r="T45" s="75"/>
      <c r="U45" s="418"/>
      <c r="V45" s="13"/>
    </row>
    <row r="46" spans="1:22" ht="15" customHeight="1">
      <c r="A46" s="14"/>
      <c r="B46" s="56" t="s">
        <v>180</v>
      </c>
      <c r="C46" s="369"/>
      <c r="D46" s="291"/>
      <c r="E46" s="193">
        <v>0.03</v>
      </c>
      <c r="F46" s="68">
        <f t="shared" si="1"/>
        <v>0</v>
      </c>
      <c r="G46" s="190"/>
      <c r="H46" s="72" t="s">
        <v>69</v>
      </c>
      <c r="I46" s="73"/>
      <c r="J46" s="74"/>
      <c r="K46" s="236">
        <v>0.09</v>
      </c>
      <c r="L46" s="6"/>
      <c r="N46" s="13"/>
      <c r="O46" s="13"/>
      <c r="P46" s="13"/>
      <c r="Q46" s="13"/>
      <c r="R46" s="13"/>
      <c r="S46" s="419"/>
      <c r="T46" s="75"/>
      <c r="U46" s="418"/>
      <c r="V46" s="13"/>
    </row>
    <row r="47" spans="1:22" ht="15" customHeight="1">
      <c r="A47" s="14"/>
      <c r="C47" s="369">
        <v>0</v>
      </c>
      <c r="D47" s="291"/>
      <c r="E47" s="370">
        <v>0</v>
      </c>
      <c r="F47" s="68">
        <f t="shared" si="1"/>
        <v>0</v>
      </c>
      <c r="G47" s="190"/>
      <c r="H47" s="69" t="s">
        <v>71</v>
      </c>
      <c r="I47" s="70"/>
      <c r="J47" s="71"/>
      <c r="K47" s="234">
        <v>0.25</v>
      </c>
      <c r="L47" s="6"/>
      <c r="N47" s="13"/>
      <c r="O47" s="13"/>
      <c r="P47" s="13"/>
      <c r="Q47" s="13"/>
      <c r="R47" s="13"/>
      <c r="S47" s="419"/>
      <c r="T47" s="75"/>
      <c r="U47" s="418"/>
      <c r="V47" s="13"/>
    </row>
    <row r="48" spans="1:22" ht="15" customHeight="1">
      <c r="A48" s="14"/>
      <c r="B48" s="325"/>
      <c r="C48" s="369">
        <v>0</v>
      </c>
      <c r="D48" s="292"/>
      <c r="E48" s="270">
        <f>C48/$C$29</f>
        <v>0</v>
      </c>
      <c r="F48" s="276">
        <f t="shared" si="1"/>
        <v>0</v>
      </c>
      <c r="G48" s="190"/>
      <c r="H48" s="72" t="s">
        <v>72</v>
      </c>
      <c r="I48" s="73"/>
      <c r="J48" s="82" t="s">
        <v>160</v>
      </c>
      <c r="K48" s="237">
        <v>27.5</v>
      </c>
      <c r="L48" s="6"/>
      <c r="N48" s="13"/>
      <c r="O48" s="13"/>
      <c r="P48" s="13"/>
      <c r="Q48" s="13"/>
      <c r="R48" s="13"/>
      <c r="S48" s="419"/>
      <c r="T48" s="75"/>
      <c r="U48" s="418"/>
      <c r="V48" s="13"/>
    </row>
    <row r="49" spans="1:22" ht="15" customHeight="1" thickBot="1">
      <c r="A49" s="14"/>
      <c r="B49" s="202"/>
      <c r="C49" s="182"/>
      <c r="D49" s="314"/>
      <c r="E49" s="194"/>
      <c r="F49" s="13"/>
      <c r="G49" s="190"/>
      <c r="H49" s="83" t="s">
        <v>73</v>
      </c>
      <c r="I49" s="13"/>
      <c r="J49" s="13"/>
      <c r="K49" s="238"/>
      <c r="L49" s="6"/>
      <c r="N49" s="13"/>
      <c r="O49" s="13"/>
      <c r="P49" s="13"/>
      <c r="Q49" s="13"/>
      <c r="R49" s="13"/>
      <c r="S49" s="419"/>
      <c r="T49" s="75"/>
      <c r="U49" s="418"/>
      <c r="V49" s="13"/>
    </row>
    <row r="50" spans="1:22" ht="15" customHeight="1">
      <c r="A50" s="14"/>
      <c r="B50" s="121" t="s">
        <v>74</v>
      </c>
      <c r="C50" s="84">
        <v>129890</v>
      </c>
      <c r="D50" s="294"/>
      <c r="E50" s="195">
        <f>SUM(C50/C29)</f>
        <v>0.5409397792720823</v>
      </c>
      <c r="F50" s="85">
        <f t="shared" si="1"/>
        <v>3936.060606060606</v>
      </c>
      <c r="G50" s="190"/>
      <c r="H50" s="453"/>
      <c r="I50" s="454"/>
      <c r="J50" s="454"/>
      <c r="K50" s="413"/>
      <c r="L50" s="6"/>
      <c r="N50" s="13"/>
      <c r="O50" s="13"/>
      <c r="P50" s="13"/>
      <c r="Q50" s="13"/>
      <c r="R50" s="13"/>
      <c r="S50" s="419"/>
      <c r="T50" s="75"/>
      <c r="U50" s="418"/>
      <c r="V50" s="13"/>
    </row>
    <row r="51" spans="1:22" ht="15" customHeight="1">
      <c r="A51" s="14"/>
      <c r="B51" s="107" t="s">
        <v>75</v>
      </c>
      <c r="C51" s="267">
        <f>C29-C50</f>
        <v>110229.15</v>
      </c>
      <c r="D51" s="295"/>
      <c r="E51" s="193">
        <f>C51/$C$26</f>
        <v>0.4361072096915219</v>
      </c>
      <c r="F51" s="68">
        <f t="shared" si="1"/>
        <v>3340.2772727272727</v>
      </c>
      <c r="G51" s="190"/>
      <c r="H51" s="453"/>
      <c r="I51" s="454"/>
      <c r="J51" s="454"/>
      <c r="K51" s="455"/>
      <c r="L51" s="6"/>
      <c r="N51" s="13"/>
      <c r="O51" s="13"/>
      <c r="P51" s="13"/>
      <c r="Q51" s="13"/>
      <c r="R51" s="13"/>
      <c r="S51" s="434"/>
      <c r="T51" s="75"/>
      <c r="U51" s="418"/>
      <c r="V51" s="13"/>
    </row>
    <row r="52" spans="1:22" ht="15" customHeight="1">
      <c r="A52" s="14"/>
      <c r="B52" s="107" t="s">
        <v>76</v>
      </c>
      <c r="C52" s="266">
        <f>+J15+J16</f>
        <v>66367.1424667612</v>
      </c>
      <c r="D52" s="287"/>
      <c r="E52" s="193">
        <f>C52/$C$26</f>
        <v>0.2625729157521303</v>
      </c>
      <c r="F52" s="68">
        <f t="shared" si="1"/>
        <v>2011.125529295794</v>
      </c>
      <c r="G52" s="190"/>
      <c r="H52" s="399"/>
      <c r="I52" s="93"/>
      <c r="J52" s="93" t="s">
        <v>168</v>
      </c>
      <c r="K52" s="405">
        <v>0.03</v>
      </c>
      <c r="L52" s="6"/>
      <c r="N52" s="13"/>
      <c r="O52" s="13"/>
      <c r="P52" s="13"/>
      <c r="Q52" s="13"/>
      <c r="R52" s="13"/>
      <c r="S52" s="13"/>
      <c r="T52" s="13"/>
      <c r="U52" s="13"/>
      <c r="V52" s="13"/>
    </row>
    <row r="53" spans="1:31" ht="15" customHeight="1" thickBot="1">
      <c r="A53" s="14"/>
      <c r="B53" s="212" t="s">
        <v>77</v>
      </c>
      <c r="C53" s="269">
        <f>C51-C52</f>
        <v>43862.00753323879</v>
      </c>
      <c r="D53" s="315"/>
      <c r="E53" s="196">
        <f>C53/C12</f>
        <v>0.11051844417823947</v>
      </c>
      <c r="F53" s="87">
        <f t="shared" si="1"/>
        <v>1329.1517434314785</v>
      </c>
      <c r="G53" s="88"/>
      <c r="H53" s="458"/>
      <c r="I53" s="459"/>
      <c r="J53" s="459"/>
      <c r="K53" s="460"/>
      <c r="L53" s="89"/>
      <c r="M53" s="13"/>
      <c r="N53" s="128"/>
      <c r="O53" s="128"/>
      <c r="P53" s="134"/>
      <c r="Q53" s="134"/>
      <c r="R53" s="134"/>
      <c r="S53" s="134"/>
      <c r="T53" s="134"/>
      <c r="U53" s="134"/>
      <c r="V53" s="134"/>
      <c r="W53" s="90"/>
      <c r="X53" s="90"/>
      <c r="Y53" s="90"/>
      <c r="Z53" s="90"/>
      <c r="AA53" s="90"/>
      <c r="AB53" s="90"/>
      <c r="AC53" s="90"/>
      <c r="AD53" s="90"/>
      <c r="AE53" s="90"/>
    </row>
    <row r="54" spans="1:22" ht="15" customHeight="1" thickBot="1" thickTop="1">
      <c r="A54" s="14"/>
      <c r="B54" s="213"/>
      <c r="C54" s="4"/>
      <c r="D54" s="4"/>
      <c r="E54" s="4"/>
      <c r="F54" s="4"/>
      <c r="G54" s="191"/>
      <c r="H54" s="4"/>
      <c r="I54" s="4"/>
      <c r="J54" s="4"/>
      <c r="K54" s="108"/>
      <c r="L54" s="92"/>
      <c r="M54" s="25"/>
      <c r="N54" s="93"/>
      <c r="O54" s="93"/>
      <c r="P54" s="13"/>
      <c r="Q54" s="13"/>
      <c r="R54" s="13"/>
      <c r="S54" s="13"/>
      <c r="T54" s="13"/>
      <c r="U54" s="13"/>
      <c r="V54" s="13"/>
    </row>
    <row r="55" spans="1:22" ht="15" customHeight="1" thickTop="1">
      <c r="A55" s="14"/>
      <c r="B55" s="214" t="s">
        <v>134</v>
      </c>
      <c r="C55" s="174"/>
      <c r="D55" s="174"/>
      <c r="E55" s="174"/>
      <c r="F55" s="174"/>
      <c r="G55" s="174"/>
      <c r="H55" s="174"/>
      <c r="I55" s="174"/>
      <c r="J55" s="174"/>
      <c r="K55" s="239"/>
      <c r="L55" s="109"/>
      <c r="M55" s="25"/>
      <c r="N55" s="94"/>
      <c r="O55" s="94"/>
      <c r="P55" s="437"/>
      <c r="Q55" s="13"/>
      <c r="R55" s="13"/>
      <c r="S55" s="13"/>
      <c r="T55" s="13"/>
      <c r="U55" s="13"/>
      <c r="V55" s="13"/>
    </row>
    <row r="56" spans="1:16" ht="15" customHeight="1">
      <c r="A56" s="14"/>
      <c r="B56" s="215" t="s">
        <v>135</v>
      </c>
      <c r="C56" s="175"/>
      <c r="D56" s="175"/>
      <c r="E56" s="175"/>
      <c r="F56" s="175"/>
      <c r="G56" s="175"/>
      <c r="H56" s="175"/>
      <c r="I56" s="175"/>
      <c r="J56" s="175"/>
      <c r="K56" s="240"/>
      <c r="L56" s="109"/>
      <c r="M56" s="95"/>
      <c r="N56" s="96"/>
      <c r="O56" s="96"/>
      <c r="P56" s="99"/>
    </row>
    <row r="57" spans="1:15" ht="15" customHeight="1" thickBot="1">
      <c r="A57" s="14"/>
      <c r="B57" s="256" t="s">
        <v>136</v>
      </c>
      <c r="C57" s="257"/>
      <c r="D57" s="257"/>
      <c r="E57" s="257"/>
      <c r="F57" s="257"/>
      <c r="G57" s="257"/>
      <c r="H57" s="257"/>
      <c r="I57" s="257"/>
      <c r="J57" s="257"/>
      <c r="K57" s="258"/>
      <c r="L57" s="109"/>
      <c r="M57" s="25"/>
      <c r="N57" s="96"/>
      <c r="O57" s="96"/>
    </row>
    <row r="58" spans="1:31" ht="16.5">
      <c r="A58" s="14"/>
      <c r="B58" s="247"/>
      <c r="C58" s="245"/>
      <c r="D58" s="245"/>
      <c r="E58" s="246" t="s">
        <v>78</v>
      </c>
      <c r="F58" s="247"/>
      <c r="G58" s="247"/>
      <c r="H58" s="246"/>
      <c r="I58" s="246"/>
      <c r="J58" s="252"/>
      <c r="K58" s="252"/>
      <c r="L58" s="92"/>
      <c r="M58" s="95"/>
      <c r="N58" s="421"/>
      <c r="O58" s="97"/>
      <c r="P58" s="423"/>
      <c r="Q58" s="423"/>
      <c r="R58" s="98"/>
      <c r="S58" s="423"/>
      <c r="T58" s="423"/>
      <c r="U58" s="423"/>
      <c r="V58" s="423"/>
      <c r="W58" s="98"/>
      <c r="X58" s="98"/>
      <c r="Y58" s="98"/>
      <c r="Z58" s="98"/>
      <c r="AA58" s="98"/>
      <c r="AB58" s="98"/>
      <c r="AC58" s="98"/>
      <c r="AD58" s="98"/>
      <c r="AE58" s="98"/>
    </row>
    <row r="59" spans="1:22" ht="18" thickBot="1">
      <c r="A59" s="14"/>
      <c r="B59" s="254"/>
      <c r="C59" s="253"/>
      <c r="D59" s="253"/>
      <c r="E59" s="253"/>
      <c r="F59" s="253"/>
      <c r="G59" s="253"/>
      <c r="H59" s="247"/>
      <c r="I59" s="245"/>
      <c r="J59" s="245"/>
      <c r="K59" s="255"/>
      <c r="L59" s="2"/>
      <c r="M59" s="99"/>
      <c r="N59" s="422"/>
      <c r="P59" s="422"/>
      <c r="Q59" s="422"/>
      <c r="S59" s="422"/>
      <c r="T59" s="422"/>
      <c r="U59" s="422"/>
      <c r="V59" s="422"/>
    </row>
    <row r="60" spans="1:12" ht="15" customHeight="1" thickBot="1" thickTop="1">
      <c r="A60" s="14"/>
      <c r="B60" s="100"/>
      <c r="C60" s="101"/>
      <c r="D60" s="101"/>
      <c r="E60" s="101"/>
      <c r="F60" s="102" t="s">
        <v>24</v>
      </c>
      <c r="G60" s="102"/>
      <c r="H60" s="101"/>
      <c r="I60" s="101"/>
      <c r="J60" s="101"/>
      <c r="K60" s="103"/>
      <c r="L60" s="6"/>
    </row>
    <row r="61" spans="1:12" ht="15" customHeight="1" thickTop="1">
      <c r="A61" s="14"/>
      <c r="B61" s="104"/>
      <c r="C61" s="105" t="s">
        <v>79</v>
      </c>
      <c r="D61" s="375" t="s">
        <v>139</v>
      </c>
      <c r="E61" s="105" t="s">
        <v>80</v>
      </c>
      <c r="F61" s="105" t="s">
        <v>27</v>
      </c>
      <c r="G61" s="375" t="s">
        <v>142</v>
      </c>
      <c r="H61" s="105" t="s">
        <v>28</v>
      </c>
      <c r="I61" s="105" t="s">
        <v>29</v>
      </c>
      <c r="J61" s="320" t="s">
        <v>30</v>
      </c>
      <c r="K61" s="106"/>
      <c r="L61" s="6"/>
    </row>
    <row r="62" spans="1:29" ht="15" customHeight="1">
      <c r="A62" s="14"/>
      <c r="B62" s="107"/>
      <c r="C62" s="26" t="s">
        <v>81</v>
      </c>
      <c r="D62" s="373" t="s">
        <v>140</v>
      </c>
      <c r="E62" s="26" t="s">
        <v>26</v>
      </c>
      <c r="F62" s="26" t="s">
        <v>34</v>
      </c>
      <c r="G62" s="373" t="s">
        <v>143</v>
      </c>
      <c r="H62" s="26" t="s">
        <v>35</v>
      </c>
      <c r="I62" s="26" t="s">
        <v>36</v>
      </c>
      <c r="J62" s="27" t="s">
        <v>37</v>
      </c>
      <c r="K62" s="108"/>
      <c r="L62" s="109"/>
      <c r="M62" s="34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</row>
    <row r="63" spans="1:29" ht="15" customHeight="1">
      <c r="A63" s="14"/>
      <c r="B63" s="107" t="s">
        <v>82</v>
      </c>
      <c r="C63" s="86">
        <f aca="true" t="shared" si="3" ref="C63:J65">C15</f>
        <v>875000</v>
      </c>
      <c r="D63" s="374" t="str">
        <f>+D15</f>
        <v>n</v>
      </c>
      <c r="E63" s="86">
        <f t="shared" si="3"/>
        <v>30</v>
      </c>
      <c r="F63" s="86">
        <f t="shared" si="3"/>
        <v>12</v>
      </c>
      <c r="G63" s="374">
        <f>+G15</f>
        <v>10</v>
      </c>
      <c r="H63" s="110">
        <f t="shared" si="3"/>
        <v>0.065</v>
      </c>
      <c r="I63" s="86">
        <f t="shared" si="3"/>
        <v>5530.595205563433</v>
      </c>
      <c r="J63" s="33">
        <f t="shared" si="3"/>
        <v>66367.1424667612</v>
      </c>
      <c r="K63" s="111"/>
      <c r="L63" s="109"/>
      <c r="M63" s="34"/>
      <c r="N63" s="438"/>
      <c r="O63" s="420"/>
      <c r="P63" s="420"/>
      <c r="Q63" s="420"/>
      <c r="R63" s="420"/>
      <c r="S63" s="420"/>
      <c r="T63" s="420"/>
      <c r="U63" s="420"/>
      <c r="V63" s="420"/>
      <c r="W63" s="420"/>
      <c r="X63" s="160"/>
      <c r="Y63" s="160"/>
      <c r="Z63" s="160"/>
      <c r="AA63" s="160"/>
      <c r="AB63" s="160"/>
      <c r="AC63" s="160"/>
    </row>
    <row r="64" spans="1:29" ht="15" customHeight="1">
      <c r="A64" s="14"/>
      <c r="B64" s="107" t="s">
        <v>83</v>
      </c>
      <c r="C64" s="86">
        <f t="shared" si="3"/>
        <v>0</v>
      </c>
      <c r="D64" s="374" t="str">
        <f>IF($C64&gt;0,+D16," ")</f>
        <v> </v>
      </c>
      <c r="E64" s="86">
        <f t="shared" si="3"/>
        <v>0</v>
      </c>
      <c r="F64" s="86">
        <f t="shared" si="3"/>
        <v>0</v>
      </c>
      <c r="G64" s="374" t="str">
        <f>IF($C64&gt;0,+G16," ")</f>
        <v> </v>
      </c>
      <c r="H64" s="110">
        <f t="shared" si="3"/>
        <v>0</v>
      </c>
      <c r="I64" s="86">
        <f t="shared" si="3"/>
        <v>0</v>
      </c>
      <c r="J64" s="33">
        <f t="shared" si="3"/>
        <v>0</v>
      </c>
      <c r="K64" s="111"/>
      <c r="L64" s="109"/>
      <c r="M64" s="34"/>
      <c r="N64" s="160"/>
      <c r="O64" s="160"/>
      <c r="P64" s="420"/>
      <c r="Q64" s="420"/>
      <c r="S64" s="420"/>
      <c r="T64" s="420"/>
      <c r="U64" s="420"/>
      <c r="V64" s="420"/>
      <c r="W64" s="420"/>
      <c r="Y64" s="160"/>
      <c r="Z64" s="160"/>
      <c r="AA64" s="160"/>
      <c r="AB64" s="160"/>
      <c r="AC64" s="160"/>
    </row>
    <row r="65" spans="1:31" ht="15" customHeight="1" thickBot="1">
      <c r="A65" s="14"/>
      <c r="B65" s="107" t="str">
        <f>+B17</f>
        <v>Replacement 1st Mortgage</v>
      </c>
      <c r="C65" s="86">
        <f t="shared" si="3"/>
        <v>875000</v>
      </c>
      <c r="D65" s="374" t="str">
        <f>IF($C65&gt;0,+D17," ")</f>
        <v>n</v>
      </c>
      <c r="E65" s="86">
        <f t="shared" si="3"/>
        <v>30</v>
      </c>
      <c r="F65" s="86">
        <f t="shared" si="3"/>
        <v>12</v>
      </c>
      <c r="G65" s="374">
        <f>IF($C65&gt;0,+G17," ")</f>
        <v>10</v>
      </c>
      <c r="H65" s="110">
        <f t="shared" si="3"/>
        <v>0.065</v>
      </c>
      <c r="I65" s="86">
        <f t="shared" si="3"/>
        <v>5530.595205563433</v>
      </c>
      <c r="J65" s="33">
        <f t="shared" si="3"/>
        <v>66367.1424667612</v>
      </c>
      <c r="K65" s="111"/>
      <c r="L65" s="89"/>
      <c r="M65" s="161"/>
      <c r="N65" s="161"/>
      <c r="O65" s="161"/>
      <c r="P65" s="161"/>
      <c r="Q65" s="420"/>
      <c r="R65" s="420"/>
      <c r="S65" s="420"/>
      <c r="T65" s="420"/>
      <c r="U65" s="420"/>
      <c r="V65" s="420"/>
      <c r="W65" s="420"/>
      <c r="Y65" s="420"/>
      <c r="Z65" s="161"/>
      <c r="AA65" s="161"/>
      <c r="AB65" s="161"/>
      <c r="AC65" s="161"/>
      <c r="AD65" s="90"/>
      <c r="AE65" s="90"/>
    </row>
    <row r="66" spans="1:29" ht="15" customHeight="1" hidden="1" thickBot="1">
      <c r="A66" s="14"/>
      <c r="B66" s="439" t="s">
        <v>182</v>
      </c>
      <c r="C66" s="440">
        <v>1</v>
      </c>
      <c r="D66" s="440"/>
      <c r="E66" s="440">
        <v>2</v>
      </c>
      <c r="F66" s="440">
        <v>3</v>
      </c>
      <c r="G66" s="440"/>
      <c r="H66" s="440">
        <v>4</v>
      </c>
      <c r="I66" s="440">
        <v>5</v>
      </c>
      <c r="J66" s="441">
        <v>6</v>
      </c>
      <c r="K66" s="442">
        <v>7</v>
      </c>
      <c r="L66" s="109"/>
      <c r="M66" s="34"/>
      <c r="N66" s="34"/>
      <c r="O66" s="34"/>
      <c r="P66" s="34"/>
      <c r="Q66" s="34"/>
      <c r="R66" s="34"/>
      <c r="S66" s="420"/>
      <c r="T66" s="420"/>
      <c r="U66" s="420"/>
      <c r="V66" s="420"/>
      <c r="Y66" s="420"/>
      <c r="Z66" s="420"/>
      <c r="AA66" s="420"/>
      <c r="AB66" s="162"/>
      <c r="AC66" s="162"/>
    </row>
    <row r="67" spans="1:29" ht="15" customHeight="1" thickBot="1">
      <c r="A67" s="14"/>
      <c r="B67" s="449"/>
      <c r="C67" s="119" t="s">
        <v>88</v>
      </c>
      <c r="D67" s="119"/>
      <c r="E67" s="119" t="s">
        <v>89</v>
      </c>
      <c r="F67" s="119" t="s">
        <v>90</v>
      </c>
      <c r="G67" s="119"/>
      <c r="H67" s="119" t="s">
        <v>91</v>
      </c>
      <c r="I67" s="119" t="s">
        <v>92</v>
      </c>
      <c r="J67" s="119" t="s">
        <v>93</v>
      </c>
      <c r="K67" s="120" t="s">
        <v>94</v>
      </c>
      <c r="L67" s="109"/>
      <c r="M67" s="34"/>
      <c r="N67" s="34"/>
      <c r="O67" s="34"/>
      <c r="P67" s="34"/>
      <c r="Q67" s="34"/>
      <c r="R67" s="34"/>
      <c r="S67" s="420"/>
      <c r="T67" s="420"/>
      <c r="U67" s="420"/>
      <c r="V67" s="420"/>
      <c r="Y67" s="420"/>
      <c r="Z67" s="420"/>
      <c r="AA67" s="420"/>
      <c r="AB67" s="162"/>
      <c r="AC67" s="162"/>
    </row>
    <row r="68" spans="1:29" ht="15" customHeight="1">
      <c r="A68" s="14"/>
      <c r="B68" s="107" t="s">
        <v>183</v>
      </c>
      <c r="C68" s="32" t="str">
        <f>IF($D63="n","N",IF($G63&gt;=1,"Y","N"))</f>
        <v>N</v>
      </c>
      <c r="D68" s="86"/>
      <c r="E68" s="32" t="str">
        <f>IF($D63="n","N",IF($G63&gt;=2,"Y","N"))</f>
        <v>N</v>
      </c>
      <c r="F68" s="32" t="str">
        <f>IF($D63="n","N",IF($G63&gt;=3,"Y","N"))</f>
        <v>N</v>
      </c>
      <c r="G68" s="112"/>
      <c r="H68" s="32" t="str">
        <f>IF($D63="n","N",IF($G63&gt;=4,"Y","N"))</f>
        <v>N</v>
      </c>
      <c r="I68" s="32" t="str">
        <f>IF($D63="n","N",IF($G63&gt;=5,"Y","N"))</f>
        <v>N</v>
      </c>
      <c r="J68" s="32" t="str">
        <f>IF($D63="n","N",IF($G63&gt;=6,"Y","N"))</f>
        <v>N</v>
      </c>
      <c r="K68" s="32" t="str">
        <f>IF($D63="n","N",IF($G63&gt;=7,"Y","N"))</f>
        <v>N</v>
      </c>
      <c r="L68" s="109"/>
      <c r="M68" s="34"/>
      <c r="N68" s="34"/>
      <c r="O68" s="34"/>
      <c r="P68" s="34"/>
      <c r="Q68" s="34"/>
      <c r="R68" s="34"/>
      <c r="S68" s="420"/>
      <c r="T68" s="420"/>
      <c r="U68" s="420"/>
      <c r="V68" s="420"/>
      <c r="Y68" s="420"/>
      <c r="Z68" s="420"/>
      <c r="AA68" s="420"/>
      <c r="AB68" s="162"/>
      <c r="AC68" s="162"/>
    </row>
    <row r="69" spans="1:29" ht="15" customHeight="1">
      <c r="A69" s="14"/>
      <c r="B69" s="107" t="s">
        <v>84</v>
      </c>
      <c r="C69" s="86">
        <f>IF(C68="y",$C$63,(-FV($H$63/12,12,-$I$63,$C$63)))</f>
        <v>865219.9021466003</v>
      </c>
      <c r="D69" s="86"/>
      <c r="E69" s="86">
        <f>IF($C$68="y",IF(E68="y",$C$63,(-FV($H$65/12,(E66-$G$63)*12,-$I$65,$C$65))),-FV($H$63/12,24,-$I63,$C$63))</f>
        <v>854784.8130271923</v>
      </c>
      <c r="F69" s="86">
        <f>IF($C$68="y",IF(F68="y",$C$63,(-FV($H$65/12,(F66-$G$63)*12,-$I$65,$C$65))),-FV($H$63/12,36,-$I63,$C$63))</f>
        <v>843650.8666636457</v>
      </c>
      <c r="G69" s="86"/>
      <c r="H69" s="86">
        <f>IF($C$68="y",IF(H68="y",$C$63,(-FV($H$65/12,(H66-$G$63)*12,-$I$65,$C$65))),-FV($H$63/12,48,-$I63,$C$63))</f>
        <v>831771.2592920357</v>
      </c>
      <c r="I69" s="86">
        <f>IF($C$68="y",IF(I68="y",$C$63,(-FV($H$65/12,(I66-$G$63)*12,-$I$65,$C$65))),-FV($H$63/12,60,-$I63,$C$63))</f>
        <v>819096.052613686</v>
      </c>
      <c r="J69" s="86">
        <f>IF($C$68="y",IF(J68="y",$C$63,(-FV($H$65/12,(J66-$G$63)*12,-$I$65,$C$65))),-FV($H$63/12,72,-$I63,$C$63))</f>
        <v>805571.9638695719</v>
      </c>
      <c r="K69" s="86">
        <f>IF($C$68="y",IF(K68="y",$C$63,(-FV($H$65/12,(K66-$G$63)*12,-$I$65,$C$65))),-FV($H$63/12,84,-$I63,$C$63))</f>
        <v>791142.1418556181</v>
      </c>
      <c r="L69" s="109"/>
      <c r="M69" s="34"/>
      <c r="N69" s="160"/>
      <c r="O69" s="160"/>
      <c r="P69" s="160"/>
      <c r="Q69" s="160"/>
      <c r="R69" s="160"/>
      <c r="S69" s="160"/>
      <c r="T69" s="420"/>
      <c r="U69" s="420"/>
      <c r="V69" s="420"/>
      <c r="X69" s="420"/>
      <c r="Y69" s="420"/>
      <c r="Z69" s="420"/>
      <c r="AA69" s="420"/>
      <c r="AB69" s="420"/>
      <c r="AC69" s="160"/>
    </row>
    <row r="70" spans="1:29" ht="15" customHeight="1">
      <c r="A70" s="14"/>
      <c r="B70" s="107" t="s">
        <v>28</v>
      </c>
      <c r="C70" s="86">
        <f>IF(C66&gt;$G63,$J65-C65+C69,$J63-C63+C69)</f>
        <v>56587.044613361475</v>
      </c>
      <c r="D70" s="86"/>
      <c r="E70" s="86">
        <f>IF(E66&gt;$G63,$J65-C69+E69,$J63-C69+E69)</f>
        <v>55932.053347353125</v>
      </c>
      <c r="F70" s="86">
        <f>IF(F66&gt;$G63,$J65-E69+F69,$J63-E69+F69)</f>
        <v>55233.196103214636</v>
      </c>
      <c r="G70" s="86"/>
      <c r="H70" s="86">
        <f>IF(H66&gt;$G63,$J65-F69+H69,$J63-F69+H69)</f>
        <v>54487.535095151165</v>
      </c>
      <c r="I70" s="86">
        <f>IF(I66&gt;$G63,$J65-H69+I69,$J63-H69+I69)</f>
        <v>53691.935788411414</v>
      </c>
      <c r="J70" s="86">
        <f>IF(J66&gt;$G63,$J65-I69+J69,$J63-I69+J69)</f>
        <v>52843.053722647135</v>
      </c>
      <c r="K70" s="86">
        <f>IF(K66&gt;$G63,$J65-J69+K69,$J63-J69+K69)</f>
        <v>51937.320452807355</v>
      </c>
      <c r="L70" s="109"/>
      <c r="M70" s="34"/>
      <c r="N70" s="160"/>
      <c r="O70" s="160"/>
      <c r="P70" s="160"/>
      <c r="Q70" s="160"/>
      <c r="R70" s="160"/>
      <c r="S70" s="160"/>
      <c r="T70" s="160"/>
      <c r="U70" s="420"/>
      <c r="V70" s="420"/>
      <c r="X70" s="420"/>
      <c r="Y70" s="420"/>
      <c r="Z70" s="420"/>
      <c r="AA70" s="420"/>
      <c r="AB70" s="420"/>
      <c r="AC70" s="420"/>
    </row>
    <row r="71" spans="1:30" ht="15" customHeight="1">
      <c r="A71" s="14"/>
      <c r="B71" s="107" t="s">
        <v>85</v>
      </c>
      <c r="C71" s="86" t="str">
        <f>IF(W80&gt;0,ROUND(+W80+N96,0)," ")</f>
        <v> </v>
      </c>
      <c r="D71" s="86"/>
      <c r="E71" s="86" t="str">
        <f>IF(X80&gt;0,ROUND(+X80+P96,0)," ")</f>
        <v> </v>
      </c>
      <c r="F71" s="86" t="str">
        <f>IF(Y80&gt;0,ROUND(+Y80+Q96,0)," ")</f>
        <v> </v>
      </c>
      <c r="G71" s="86"/>
      <c r="H71" s="86" t="str">
        <f>IF(Z80&gt;0,ROUND(+Z80+S96,0)," ")</f>
        <v> </v>
      </c>
      <c r="I71" s="86" t="str">
        <f>IF(AA80&gt;0,ROUND(+AA80+T96,0)," ")</f>
        <v> </v>
      </c>
      <c r="J71" s="86" t="str">
        <f>IF(AB80&gt;0,ROUND(+AB80+U96,0)," ")</f>
        <v> </v>
      </c>
      <c r="K71" s="113" t="str">
        <f>IF(AC80&gt;0,ROUND(+AC80+V96,0)," ")</f>
        <v> </v>
      </c>
      <c r="L71" s="109"/>
      <c r="M71" s="34"/>
      <c r="N71" s="160"/>
      <c r="O71" s="160"/>
      <c r="P71" s="160"/>
      <c r="Q71" s="160"/>
      <c r="R71" s="160"/>
      <c r="S71" s="160"/>
      <c r="T71" s="160"/>
      <c r="U71" s="160"/>
      <c r="V71" s="420"/>
      <c r="W71" s="420"/>
      <c r="X71" s="420"/>
      <c r="Y71" s="420"/>
      <c r="Z71" s="420"/>
      <c r="AA71" s="420"/>
      <c r="AB71" s="420"/>
      <c r="AC71" s="420"/>
      <c r="AD71" s="420"/>
    </row>
    <row r="72" spans="1:29" ht="15" customHeight="1">
      <c r="A72" s="14"/>
      <c r="B72" s="107" t="s">
        <v>28</v>
      </c>
      <c r="C72" s="86">
        <v>0</v>
      </c>
      <c r="D72" s="86"/>
      <c r="E72" s="86">
        <v>0</v>
      </c>
      <c r="F72" s="86">
        <v>0</v>
      </c>
      <c r="G72" s="86"/>
      <c r="H72" s="86">
        <v>0</v>
      </c>
      <c r="I72" s="86">
        <v>0</v>
      </c>
      <c r="J72" s="86">
        <v>0</v>
      </c>
      <c r="K72" s="113">
        <v>0</v>
      </c>
      <c r="L72" s="109"/>
      <c r="M72" s="34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  <c r="AA72" s="160"/>
      <c r="AB72" s="160"/>
      <c r="AC72" s="160"/>
    </row>
    <row r="73" spans="1:29" ht="15" customHeight="1" thickBot="1">
      <c r="A73" s="14"/>
      <c r="B73" s="107" t="s">
        <v>86</v>
      </c>
      <c r="C73" s="86">
        <f>+C69-C63</f>
        <v>-9780.097853399697</v>
      </c>
      <c r="D73" s="86"/>
      <c r="E73" s="86">
        <f>+C69-E69</f>
        <v>10435.089119408047</v>
      </c>
      <c r="F73" s="86">
        <f>+E69-F69</f>
        <v>11133.946363546536</v>
      </c>
      <c r="G73" s="86"/>
      <c r="H73" s="86">
        <f>+F69-H69</f>
        <v>11879.607371610007</v>
      </c>
      <c r="I73" s="86">
        <f>+H69-I69</f>
        <v>12675.206678349758</v>
      </c>
      <c r="J73" s="86">
        <f>+I69-J69</f>
        <v>13524.088744114037</v>
      </c>
      <c r="K73" s="86">
        <f>+J69-K69</f>
        <v>14429.822013953817</v>
      </c>
      <c r="L73" s="109"/>
      <c r="M73" s="34"/>
      <c r="N73" s="438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</row>
    <row r="74" spans="1:29" ht="15" customHeight="1" thickTop="1">
      <c r="A74" s="14"/>
      <c r="B74" s="114"/>
      <c r="C74" s="115"/>
      <c r="D74" s="115"/>
      <c r="E74" s="115"/>
      <c r="F74" s="116" t="s">
        <v>87</v>
      </c>
      <c r="G74" s="116"/>
      <c r="H74" s="115"/>
      <c r="I74" s="115"/>
      <c r="J74" s="115"/>
      <c r="K74" s="117"/>
      <c r="L74" s="109"/>
      <c r="M74" s="34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</row>
    <row r="75" spans="1:29" ht="12">
      <c r="A75" s="14"/>
      <c r="B75" s="127"/>
      <c r="C75" s="400" t="s">
        <v>62</v>
      </c>
      <c r="D75" s="400"/>
      <c r="E75" s="401">
        <v>0</v>
      </c>
      <c r="F75" s="402">
        <v>0.03</v>
      </c>
      <c r="G75" s="403"/>
      <c r="H75" s="401">
        <v>0.03</v>
      </c>
      <c r="I75" s="401">
        <v>0.03</v>
      </c>
      <c r="J75" s="401">
        <f aca="true" t="shared" si="4" ref="I75:K76">+I75</f>
        <v>0.03</v>
      </c>
      <c r="K75" s="404">
        <f t="shared" si="4"/>
        <v>0.03</v>
      </c>
      <c r="L75" s="109"/>
      <c r="M75" s="34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</row>
    <row r="76" spans="1:29" ht="12.75" thickBot="1">
      <c r="A76" s="14"/>
      <c r="B76" s="127"/>
      <c r="C76" s="400" t="s">
        <v>64</v>
      </c>
      <c r="D76" s="400"/>
      <c r="E76" s="401">
        <v>0.04</v>
      </c>
      <c r="F76" s="402">
        <f>+E76</f>
        <v>0.04</v>
      </c>
      <c r="G76" s="403"/>
      <c r="H76" s="401">
        <f>+F76</f>
        <v>0.04</v>
      </c>
      <c r="I76" s="401">
        <f t="shared" si="4"/>
        <v>0.04</v>
      </c>
      <c r="J76" s="401">
        <f t="shared" si="4"/>
        <v>0.04</v>
      </c>
      <c r="K76" s="404">
        <f t="shared" si="4"/>
        <v>0.04</v>
      </c>
      <c r="L76" s="109"/>
      <c r="M76" s="34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</row>
    <row r="77" spans="1:29" ht="15" customHeight="1" thickBot="1">
      <c r="A77" s="14"/>
      <c r="B77" s="118"/>
      <c r="C77" s="119" t="s">
        <v>88</v>
      </c>
      <c r="D77" s="119"/>
      <c r="E77" s="119" t="s">
        <v>89</v>
      </c>
      <c r="F77" s="119" t="s">
        <v>90</v>
      </c>
      <c r="G77" s="119"/>
      <c r="H77" s="119" t="s">
        <v>91</v>
      </c>
      <c r="I77" s="119" t="s">
        <v>92</v>
      </c>
      <c r="J77" s="119" t="s">
        <v>93</v>
      </c>
      <c r="K77" s="120" t="s">
        <v>94</v>
      </c>
      <c r="L77" s="109"/>
      <c r="M77" s="34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</row>
    <row r="78" spans="1:31" ht="15" customHeight="1">
      <c r="A78" s="14"/>
      <c r="B78" s="121" t="s">
        <v>55</v>
      </c>
      <c r="C78" s="122">
        <f>IF(C15=0," ",C29)</f>
        <v>240119.15</v>
      </c>
      <c r="D78" s="122"/>
      <c r="E78" s="122">
        <f>C78*(1+E75)</f>
        <v>240119.15</v>
      </c>
      <c r="F78" s="122">
        <f>E78*(1+F75)</f>
        <v>247322.7245</v>
      </c>
      <c r="G78" s="122"/>
      <c r="H78" s="122">
        <f>F78*(1+H75)</f>
        <v>254742.40623500003</v>
      </c>
      <c r="I78" s="122">
        <f aca="true" t="shared" si="5" ref="I78:K79">H78*(1+I75)</f>
        <v>262384.67842205</v>
      </c>
      <c r="J78" s="122">
        <f t="shared" si="5"/>
        <v>270256.21877471154</v>
      </c>
      <c r="K78" s="123">
        <f t="shared" si="5"/>
        <v>278363.9053379529</v>
      </c>
      <c r="L78" s="89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90"/>
      <c r="AE78" s="90"/>
    </row>
    <row r="79" spans="1:29" ht="15" customHeight="1">
      <c r="A79" s="14"/>
      <c r="B79" s="107" t="s">
        <v>95</v>
      </c>
      <c r="C79" s="86">
        <f>IF(C15=0," ",C50)</f>
        <v>129890</v>
      </c>
      <c r="D79" s="86"/>
      <c r="E79" s="86">
        <f>C79*(1+E76)</f>
        <v>135085.6</v>
      </c>
      <c r="F79" s="86">
        <f>E79*(1+F76)</f>
        <v>140489.024</v>
      </c>
      <c r="G79" s="86"/>
      <c r="H79" s="86">
        <f>F79*(1+H76)</f>
        <v>146108.58496</v>
      </c>
      <c r="I79" s="86">
        <f t="shared" si="5"/>
        <v>151952.9283584</v>
      </c>
      <c r="J79" s="86">
        <f t="shared" si="5"/>
        <v>158031.045492736</v>
      </c>
      <c r="K79" s="113">
        <f t="shared" si="5"/>
        <v>164352.28731244546</v>
      </c>
      <c r="L79" s="109"/>
      <c r="M79" s="34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</row>
    <row r="80" spans="1:29" ht="15" customHeight="1">
      <c r="A80" s="14"/>
      <c r="B80" s="107" t="s">
        <v>75</v>
      </c>
      <c r="C80" s="86">
        <f aca="true" t="shared" si="6" ref="C80:K80">C78-C79</f>
        <v>110229.15</v>
      </c>
      <c r="D80" s="86"/>
      <c r="E80" s="86">
        <f t="shared" si="6"/>
        <v>105033.54999999999</v>
      </c>
      <c r="F80" s="86">
        <f t="shared" si="6"/>
        <v>106833.7005</v>
      </c>
      <c r="G80" s="86"/>
      <c r="H80" s="86">
        <f t="shared" si="6"/>
        <v>108633.82127500002</v>
      </c>
      <c r="I80" s="86">
        <f t="shared" si="6"/>
        <v>110431.75006365002</v>
      </c>
      <c r="J80" s="86">
        <f t="shared" si="6"/>
        <v>112225.17328197553</v>
      </c>
      <c r="K80" s="113">
        <f t="shared" si="6"/>
        <v>114011.61802550743</v>
      </c>
      <c r="L80" s="109"/>
      <c r="M80" s="34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</row>
    <row r="81" spans="1:29" ht="15" customHeight="1">
      <c r="A81" s="14"/>
      <c r="B81" s="107" t="s">
        <v>96</v>
      </c>
      <c r="C81" s="86">
        <f aca="true" t="shared" si="7" ref="C81:K81">IF(C70+C72&gt;0,C70+C72," ")</f>
        <v>56587.044613361475</v>
      </c>
      <c r="D81" s="86"/>
      <c r="E81" s="86">
        <f t="shared" si="7"/>
        <v>55932.053347353125</v>
      </c>
      <c r="F81" s="86">
        <f t="shared" si="7"/>
        <v>55233.196103214636</v>
      </c>
      <c r="G81" s="86"/>
      <c r="H81" s="86">
        <f t="shared" si="7"/>
        <v>54487.535095151165</v>
      </c>
      <c r="I81" s="86">
        <f t="shared" si="7"/>
        <v>53691.935788411414</v>
      </c>
      <c r="J81" s="86">
        <f t="shared" si="7"/>
        <v>52843.053722647135</v>
      </c>
      <c r="K81" s="113">
        <f t="shared" si="7"/>
        <v>51937.320452807355</v>
      </c>
      <c r="L81" s="6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</row>
    <row r="82" spans="1:29" ht="15" customHeight="1">
      <c r="A82" s="14"/>
      <c r="B82" s="107" t="s">
        <v>97</v>
      </c>
      <c r="C82" s="86">
        <f>F9/K48</f>
        <v>36363.63636363636</v>
      </c>
      <c r="D82" s="86"/>
      <c r="E82" s="86">
        <f>C82</f>
        <v>36363.63636363636</v>
      </c>
      <c r="F82" s="86">
        <f aca="true" t="shared" si="8" ref="F82:K82">E82</f>
        <v>36363.63636363636</v>
      </c>
      <c r="G82" s="86"/>
      <c r="H82" s="86">
        <f>F82</f>
        <v>36363.63636363636</v>
      </c>
      <c r="I82" s="86">
        <f t="shared" si="8"/>
        <v>36363.63636363636</v>
      </c>
      <c r="J82" s="86">
        <f t="shared" si="8"/>
        <v>36363.63636363636</v>
      </c>
      <c r="K82" s="113">
        <f t="shared" si="8"/>
        <v>36363.63636363636</v>
      </c>
      <c r="L82" s="109"/>
      <c r="M82" s="34"/>
      <c r="N82" s="160"/>
      <c r="O82" s="160"/>
      <c r="P82" s="160"/>
      <c r="Q82" s="160"/>
      <c r="R82" s="160"/>
      <c r="S82" s="160"/>
      <c r="T82" s="160"/>
      <c r="U82" s="160"/>
      <c r="V82" s="160"/>
      <c r="W82" s="34"/>
      <c r="X82" s="34"/>
      <c r="Y82" s="34"/>
      <c r="Z82" s="34"/>
      <c r="AA82" s="34"/>
      <c r="AB82" s="34"/>
      <c r="AC82" s="34"/>
    </row>
    <row r="83" spans="1:29" ht="15" customHeight="1" thickBot="1">
      <c r="A83" s="14"/>
      <c r="B83" s="124" t="s">
        <v>87</v>
      </c>
      <c r="C83" s="125">
        <f aca="true" t="shared" si="9" ref="C83:K83">C80-SUM(C81:C82)</f>
        <v>17278.469023002166</v>
      </c>
      <c r="D83" s="125"/>
      <c r="E83" s="125">
        <f t="shared" si="9"/>
        <v>12737.86028901051</v>
      </c>
      <c r="F83" s="125">
        <f t="shared" si="9"/>
        <v>15236.868033149018</v>
      </c>
      <c r="G83" s="125"/>
      <c r="H83" s="125">
        <f t="shared" si="9"/>
        <v>17782.649816212506</v>
      </c>
      <c r="I83" s="125">
        <f t="shared" si="9"/>
        <v>20376.17791160225</v>
      </c>
      <c r="J83" s="125">
        <f t="shared" si="9"/>
        <v>23018.48319569204</v>
      </c>
      <c r="K83" s="126">
        <f t="shared" si="9"/>
        <v>25710.66120906372</v>
      </c>
      <c r="L83" s="109"/>
      <c r="M83" s="34"/>
      <c r="N83" s="160"/>
      <c r="O83" s="160"/>
      <c r="P83" s="160"/>
      <c r="Q83" s="160"/>
      <c r="R83" s="160"/>
      <c r="S83" s="160"/>
      <c r="T83" s="160"/>
      <c r="U83" s="160"/>
      <c r="V83" s="160"/>
      <c r="W83" s="34"/>
      <c r="X83" s="34"/>
      <c r="Y83" s="34"/>
      <c r="Z83" s="34"/>
      <c r="AA83" s="34"/>
      <c r="AB83" s="34"/>
      <c r="AC83" s="34"/>
    </row>
    <row r="84" spans="1:29" ht="15" customHeight="1" thickBot="1">
      <c r="A84" s="14"/>
      <c r="B84" s="127"/>
      <c r="C84" s="128"/>
      <c r="D84" s="128"/>
      <c r="E84" s="128"/>
      <c r="F84" s="129" t="s">
        <v>98</v>
      </c>
      <c r="G84" s="129"/>
      <c r="H84" s="128"/>
      <c r="I84" s="128"/>
      <c r="J84" s="128"/>
      <c r="K84" s="130"/>
      <c r="L84" s="109"/>
      <c r="M84" s="34"/>
      <c r="N84" s="160"/>
      <c r="O84" s="160"/>
      <c r="P84" s="160"/>
      <c r="Q84" s="160"/>
      <c r="R84" s="160"/>
      <c r="S84" s="160"/>
      <c r="T84" s="160"/>
      <c r="U84" s="160"/>
      <c r="V84" s="160"/>
      <c r="W84" s="34"/>
      <c r="X84" s="34"/>
      <c r="Y84" s="34"/>
      <c r="Z84" s="34"/>
      <c r="AA84" s="34"/>
      <c r="AB84" s="34"/>
      <c r="AC84" s="34"/>
    </row>
    <row r="85" spans="1:29" ht="15" customHeight="1">
      <c r="A85" s="14"/>
      <c r="B85" s="121" t="s">
        <v>75</v>
      </c>
      <c r="C85" s="122">
        <f aca="true" t="shared" si="10" ref="C85:K85">C80</f>
        <v>110229.15</v>
      </c>
      <c r="D85" s="122"/>
      <c r="E85" s="122">
        <f t="shared" si="10"/>
        <v>105033.54999999999</v>
      </c>
      <c r="F85" s="122">
        <f t="shared" si="10"/>
        <v>106833.7005</v>
      </c>
      <c r="G85" s="122"/>
      <c r="H85" s="122">
        <f t="shared" si="10"/>
        <v>108633.82127500002</v>
      </c>
      <c r="I85" s="122">
        <f t="shared" si="10"/>
        <v>110431.75006365002</v>
      </c>
      <c r="J85" s="122">
        <f t="shared" si="10"/>
        <v>112225.17328197553</v>
      </c>
      <c r="K85" s="123">
        <f t="shared" si="10"/>
        <v>114011.61802550743</v>
      </c>
      <c r="L85" s="6"/>
      <c r="M85" s="34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34"/>
      <c r="Y85" s="34"/>
      <c r="Z85" s="34"/>
      <c r="AA85" s="34"/>
      <c r="AB85" s="34"/>
      <c r="AC85" s="34"/>
    </row>
    <row r="86" spans="1:31" ht="15" customHeight="1">
      <c r="A86" s="14"/>
      <c r="B86" s="107" t="s">
        <v>99</v>
      </c>
      <c r="C86" s="86">
        <f>J63+J64</f>
        <v>66367.1424667612</v>
      </c>
      <c r="D86" s="86"/>
      <c r="E86" s="86">
        <f>J63+J64</f>
        <v>66367.1424667612</v>
      </c>
      <c r="F86" s="86">
        <f>J63+J64</f>
        <v>66367.1424667612</v>
      </c>
      <c r="G86" s="86"/>
      <c r="H86" s="86">
        <f>J63+J64</f>
        <v>66367.1424667612</v>
      </c>
      <c r="I86" s="86">
        <f>J63+J64</f>
        <v>66367.1424667612</v>
      </c>
      <c r="J86" s="86">
        <f>I86</f>
        <v>66367.1424667612</v>
      </c>
      <c r="K86" s="113">
        <f>J86</f>
        <v>66367.1424667612</v>
      </c>
      <c r="L86" s="89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90"/>
      <c r="AE86" s="90"/>
    </row>
    <row r="87" spans="1:29" ht="15" customHeight="1">
      <c r="A87" s="14"/>
      <c r="B87" s="107" t="s">
        <v>100</v>
      </c>
      <c r="C87" s="86"/>
      <c r="D87" s="86"/>
      <c r="E87" s="86"/>
      <c r="F87" s="86"/>
      <c r="G87" s="86"/>
      <c r="H87" s="86"/>
      <c r="I87" s="86"/>
      <c r="J87" s="86"/>
      <c r="K87" s="113"/>
      <c r="L87" s="109"/>
      <c r="M87" s="34"/>
      <c r="N87" s="160"/>
      <c r="O87" s="160"/>
      <c r="P87" s="160"/>
      <c r="Q87" s="160"/>
      <c r="R87" s="160"/>
      <c r="S87" s="160"/>
      <c r="T87" s="160"/>
      <c r="U87" s="160"/>
      <c r="V87" s="34"/>
      <c r="W87" s="34"/>
      <c r="X87" s="34"/>
      <c r="Y87" s="34"/>
      <c r="Z87" s="34"/>
      <c r="AA87" s="34"/>
      <c r="AB87" s="34"/>
      <c r="AC87" s="34"/>
    </row>
    <row r="88" spans="1:29" ht="15" customHeight="1">
      <c r="A88" s="14"/>
      <c r="B88" s="107" t="s">
        <v>101</v>
      </c>
      <c r="C88" s="86">
        <f aca="true" t="shared" si="11" ref="C88:K88">C85-C86-C87</f>
        <v>43862.00753323879</v>
      </c>
      <c r="D88" s="86"/>
      <c r="E88" s="86">
        <f t="shared" si="11"/>
        <v>38666.40753323879</v>
      </c>
      <c r="F88" s="86">
        <f t="shared" si="11"/>
        <v>40466.558033238805</v>
      </c>
      <c r="G88" s="86"/>
      <c r="H88" s="86">
        <f t="shared" si="11"/>
        <v>42266.67880823882</v>
      </c>
      <c r="I88" s="86">
        <f t="shared" si="11"/>
        <v>44064.60759688882</v>
      </c>
      <c r="J88" s="86">
        <f t="shared" si="11"/>
        <v>45858.030815214326</v>
      </c>
      <c r="K88" s="113">
        <f t="shared" si="11"/>
        <v>47644.47555874623</v>
      </c>
      <c r="L88" s="109"/>
      <c r="M88" s="34"/>
      <c r="N88" s="160"/>
      <c r="O88" s="160"/>
      <c r="P88" s="160"/>
      <c r="Q88" s="160"/>
      <c r="R88" s="160"/>
      <c r="S88" s="160"/>
      <c r="T88" s="160"/>
      <c r="U88" s="160"/>
      <c r="V88" s="34"/>
      <c r="W88" s="34"/>
      <c r="X88" s="34"/>
      <c r="Y88" s="34"/>
      <c r="Z88" s="34"/>
      <c r="AA88" s="34"/>
      <c r="AB88" s="34"/>
      <c r="AC88" s="34"/>
    </row>
    <row r="89" spans="1:29" ht="15" customHeight="1">
      <c r="A89" s="14"/>
      <c r="B89" s="107" t="s">
        <v>102</v>
      </c>
      <c r="C89" s="110">
        <f>C88/$C$12</f>
        <v>0.11051844417823947</v>
      </c>
      <c r="D89" s="110"/>
      <c r="E89" s="110">
        <f aca="true" t="shared" si="12" ref="E89:K89">E88/$C$12</f>
        <v>0.09742716858768828</v>
      </c>
      <c r="F89" s="110">
        <f t="shared" si="12"/>
        <v>0.1019629808711529</v>
      </c>
      <c r="G89" s="110"/>
      <c r="H89" s="110">
        <f t="shared" si="12"/>
        <v>0.10649871825697971</v>
      </c>
      <c r="I89" s="110">
        <f t="shared" si="12"/>
        <v>0.11102893252759387</v>
      </c>
      <c r="J89" s="110">
        <f t="shared" si="12"/>
        <v>0.1155477941800676</v>
      </c>
      <c r="K89" s="131">
        <f t="shared" si="12"/>
        <v>0.12004907227400624</v>
      </c>
      <c r="L89" s="109"/>
      <c r="M89" s="34"/>
      <c r="N89" s="160"/>
      <c r="O89" s="160"/>
      <c r="P89" s="160"/>
      <c r="Q89" s="160"/>
      <c r="R89" s="160"/>
      <c r="S89" s="160"/>
      <c r="T89" s="160"/>
      <c r="U89" s="160"/>
      <c r="V89" s="34"/>
      <c r="W89" s="34"/>
      <c r="X89" s="34"/>
      <c r="Y89" s="34"/>
      <c r="Z89" s="34"/>
      <c r="AA89" s="34"/>
      <c r="AB89" s="34"/>
      <c r="AC89" s="34"/>
    </row>
    <row r="90" spans="1:29" ht="15" customHeight="1">
      <c r="A90" s="14"/>
      <c r="B90" s="107" t="s">
        <v>103</v>
      </c>
      <c r="C90" s="86">
        <f aca="true" t="shared" si="13" ref="C90:K90">ROUND((C83*$K$44),0)</f>
        <v>5184</v>
      </c>
      <c r="D90" s="86"/>
      <c r="E90" s="86">
        <f t="shared" si="13"/>
        <v>3821</v>
      </c>
      <c r="F90" s="86">
        <f t="shared" si="13"/>
        <v>4571</v>
      </c>
      <c r="G90" s="86"/>
      <c r="H90" s="86">
        <f t="shared" si="13"/>
        <v>5335</v>
      </c>
      <c r="I90" s="86">
        <f t="shared" si="13"/>
        <v>6113</v>
      </c>
      <c r="J90" s="86">
        <f t="shared" si="13"/>
        <v>6906</v>
      </c>
      <c r="K90" s="113">
        <f t="shared" si="13"/>
        <v>7713</v>
      </c>
      <c r="L90" s="109"/>
      <c r="M90" s="34"/>
      <c r="N90" s="160"/>
      <c r="O90" s="160"/>
      <c r="P90" s="160"/>
      <c r="Q90" s="160"/>
      <c r="R90" s="160"/>
      <c r="S90" s="160"/>
      <c r="T90" s="160"/>
      <c r="U90" s="160"/>
      <c r="V90" s="34"/>
      <c r="W90" s="34"/>
      <c r="X90" s="34"/>
      <c r="Y90" s="34"/>
      <c r="Z90" s="34"/>
      <c r="AA90" s="34"/>
      <c r="AB90" s="34"/>
      <c r="AC90" s="34"/>
    </row>
    <row r="91" spans="1:29" ht="15" customHeight="1">
      <c r="A91" s="14"/>
      <c r="B91" s="107" t="s">
        <v>104</v>
      </c>
      <c r="C91" s="86">
        <f aca="true" t="shared" si="14" ref="C91:K91">C88-C90</f>
        <v>38678.00753323879</v>
      </c>
      <c r="D91" s="86"/>
      <c r="E91" s="86">
        <f t="shared" si="14"/>
        <v>34845.40753323879</v>
      </c>
      <c r="F91" s="86">
        <f t="shared" si="14"/>
        <v>35895.558033238805</v>
      </c>
      <c r="G91" s="86"/>
      <c r="H91" s="86">
        <f t="shared" si="14"/>
        <v>36931.67880823882</v>
      </c>
      <c r="I91" s="86">
        <f t="shared" si="14"/>
        <v>37951.60759688882</v>
      </c>
      <c r="J91" s="86">
        <f t="shared" si="14"/>
        <v>38952.030815214326</v>
      </c>
      <c r="K91" s="113">
        <f t="shared" si="14"/>
        <v>39931.47555874623</v>
      </c>
      <c r="L91" s="109"/>
      <c r="M91" s="34"/>
      <c r="N91" s="160"/>
      <c r="O91" s="160"/>
      <c r="P91" s="160"/>
      <c r="Q91" s="160"/>
      <c r="R91" s="160"/>
      <c r="S91" s="160"/>
      <c r="T91" s="160"/>
      <c r="U91" s="160"/>
      <c r="V91" s="34"/>
      <c r="W91" s="34"/>
      <c r="X91" s="34"/>
      <c r="Y91" s="34"/>
      <c r="Z91" s="34"/>
      <c r="AA91" s="34"/>
      <c r="AB91" s="34"/>
      <c r="AC91" s="34"/>
    </row>
    <row r="92" spans="1:29" ht="15" customHeight="1" thickBot="1">
      <c r="A92" s="14"/>
      <c r="B92" s="124" t="s">
        <v>105</v>
      </c>
      <c r="C92" s="132">
        <f>SUM(C91/SUM($C$12+$K$19))</f>
        <v>0.09745639693414498</v>
      </c>
      <c r="D92" s="132"/>
      <c r="E92" s="132">
        <f aca="true" t="shared" si="15" ref="E92:K92">SUM(E91/SUM($C$12+$K$19))</f>
        <v>0.08779945205225521</v>
      </c>
      <c r="F92" s="132">
        <f t="shared" si="15"/>
        <v>0.09044550055619227</v>
      </c>
      <c r="G92" s="132"/>
      <c r="H92" s="132">
        <f t="shared" si="15"/>
        <v>0.09305619857194034</v>
      </c>
      <c r="I92" s="132">
        <f t="shared" si="15"/>
        <v>0.09562609788192458</v>
      </c>
      <c r="J92" s="132">
        <f t="shared" si="15"/>
        <v>0.09814684929817782</v>
      </c>
      <c r="K92" s="133">
        <f t="shared" si="15"/>
        <v>0.10061474156534482</v>
      </c>
      <c r="L92" s="109"/>
      <c r="M92" s="398"/>
      <c r="N92" s="160"/>
      <c r="O92" s="160"/>
      <c r="P92" s="160"/>
      <c r="Q92" s="160"/>
      <c r="R92" s="160"/>
      <c r="S92" s="160"/>
      <c r="T92" s="160"/>
      <c r="U92" s="160"/>
      <c r="V92" s="34"/>
      <c r="W92" s="34"/>
      <c r="X92" s="34"/>
      <c r="Y92" s="34"/>
      <c r="Z92" s="34"/>
      <c r="AA92" s="34"/>
      <c r="AB92" s="34"/>
      <c r="AC92" s="34"/>
    </row>
    <row r="93" spans="1:29" ht="15" customHeight="1" thickBot="1">
      <c r="A93" s="14"/>
      <c r="B93" s="127"/>
      <c r="C93" s="134"/>
      <c r="D93" s="134"/>
      <c r="E93" s="134"/>
      <c r="F93" s="135" t="s">
        <v>106</v>
      </c>
      <c r="G93" s="135"/>
      <c r="H93" s="134"/>
      <c r="I93" s="134"/>
      <c r="J93" s="134"/>
      <c r="K93" s="136"/>
      <c r="L93" s="109"/>
      <c r="M93" s="34"/>
      <c r="N93" s="160"/>
      <c r="O93" s="160"/>
      <c r="P93" s="160"/>
      <c r="Q93" s="160"/>
      <c r="R93" s="160"/>
      <c r="S93" s="160"/>
      <c r="T93" s="160"/>
      <c r="U93" s="160"/>
      <c r="V93" s="34"/>
      <c r="W93" s="34"/>
      <c r="X93" s="34"/>
      <c r="Y93" s="34"/>
      <c r="Z93" s="34"/>
      <c r="AA93" s="34"/>
      <c r="AB93" s="34"/>
      <c r="AC93" s="34"/>
    </row>
    <row r="94" spans="1:29" ht="15" customHeight="1" thickBot="1" thickTop="1">
      <c r="A94" s="14"/>
      <c r="B94" s="121" t="s">
        <v>107</v>
      </c>
      <c r="C94" s="322"/>
      <c r="D94" s="301"/>
      <c r="E94" s="138">
        <f>C12+C8</f>
        <v>1271875</v>
      </c>
      <c r="F94" s="115"/>
      <c r="G94" s="115"/>
      <c r="H94" s="115"/>
      <c r="I94" s="11"/>
      <c r="J94" s="321" t="s">
        <v>108</v>
      </c>
      <c r="K94" s="140"/>
      <c r="L94" s="109"/>
      <c r="M94" s="34"/>
      <c r="N94" s="160"/>
      <c r="O94" s="160"/>
      <c r="P94" s="160"/>
      <c r="Q94" s="160"/>
      <c r="R94" s="160"/>
      <c r="S94" s="160"/>
      <c r="T94" s="160"/>
      <c r="U94" s="160"/>
      <c r="V94" s="34"/>
      <c r="W94" s="34"/>
      <c r="X94" s="34"/>
      <c r="Y94" s="34"/>
      <c r="Z94" s="34"/>
      <c r="AA94" s="34"/>
      <c r="AB94" s="34"/>
      <c r="AC94" s="34"/>
    </row>
    <row r="95" spans="1:29" ht="15" customHeight="1" thickTop="1">
      <c r="A95" s="14"/>
      <c r="B95" s="107" t="s">
        <v>109</v>
      </c>
      <c r="C95" s="323"/>
      <c r="D95" s="302"/>
      <c r="E95" s="142">
        <v>20000</v>
      </c>
      <c r="F95" s="134"/>
      <c r="G95" s="134"/>
      <c r="H95" s="134"/>
      <c r="I95" s="143" t="s">
        <v>110</v>
      </c>
      <c r="J95" s="304"/>
      <c r="K95" s="144">
        <f>SUM(E94*(POWER(SUM(1+K52),K43)))</f>
        <v>1564245.8225872566</v>
      </c>
      <c r="L95" s="109"/>
      <c r="M95" s="34"/>
      <c r="N95" s="160"/>
      <c r="O95" s="160"/>
      <c r="P95" s="160"/>
      <c r="Q95" s="160"/>
      <c r="R95" s="160"/>
      <c r="S95" s="160"/>
      <c r="T95" s="160"/>
      <c r="U95" s="160"/>
      <c r="V95" s="34"/>
      <c r="W95" s="34"/>
      <c r="X95" s="34"/>
      <c r="Y95" s="34"/>
      <c r="Z95" s="34"/>
      <c r="AA95" s="34"/>
      <c r="AB95" s="34"/>
      <c r="AC95" s="34"/>
    </row>
    <row r="96" spans="1:29" ht="15" customHeight="1">
      <c r="A96" s="14"/>
      <c r="B96" s="107" t="s">
        <v>111</v>
      </c>
      <c r="C96" s="323"/>
      <c r="D96" s="302"/>
      <c r="E96" s="145">
        <f>K96</f>
        <v>125139.66580698053</v>
      </c>
      <c r="F96" s="134"/>
      <c r="G96" s="134"/>
      <c r="H96" s="134"/>
      <c r="I96" s="146" t="s">
        <v>112</v>
      </c>
      <c r="J96" s="302"/>
      <c r="K96" s="147">
        <f>K95*0.08</f>
        <v>125139.66580698053</v>
      </c>
      <c r="L96" s="109"/>
      <c r="M96" s="34"/>
      <c r="N96" s="160"/>
      <c r="O96" s="160"/>
      <c r="P96" s="160"/>
      <c r="Q96" s="160"/>
      <c r="R96" s="160"/>
      <c r="S96" s="160"/>
      <c r="T96" s="160"/>
      <c r="U96" s="160"/>
      <c r="V96" s="34"/>
      <c r="W96" s="34"/>
      <c r="X96" s="34"/>
      <c r="Y96" s="34"/>
      <c r="Z96" s="34"/>
      <c r="AA96" s="34"/>
      <c r="AB96" s="34"/>
      <c r="AC96" s="34"/>
    </row>
    <row r="97" spans="1:29" ht="15" customHeight="1">
      <c r="A97" s="14"/>
      <c r="B97" s="107" t="s">
        <v>113</v>
      </c>
      <c r="C97" s="323"/>
      <c r="D97" s="302"/>
      <c r="E97" s="145">
        <f>IF(E94+E95+E96&gt;0,E94+E95+E96," ")</f>
        <v>1417014.6658069806</v>
      </c>
      <c r="F97" s="134"/>
      <c r="G97" s="134"/>
      <c r="H97" s="134"/>
      <c r="I97" s="146" t="s">
        <v>114</v>
      </c>
      <c r="J97" s="302"/>
      <c r="K97" s="147">
        <f>+K69</f>
        <v>791142.1418556181</v>
      </c>
      <c r="L97" s="6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</row>
    <row r="98" spans="1:29" ht="15" customHeight="1">
      <c r="A98" s="14"/>
      <c r="B98" s="107" t="s">
        <v>97</v>
      </c>
      <c r="C98" s="323"/>
      <c r="D98" s="302"/>
      <c r="E98" s="145">
        <f>SUM(C82:K82)</f>
        <v>254545.4545454545</v>
      </c>
      <c r="F98" s="134"/>
      <c r="G98" s="134"/>
      <c r="H98" s="134"/>
      <c r="I98" s="146" t="s">
        <v>115</v>
      </c>
      <c r="J98" s="302"/>
      <c r="K98" s="147">
        <f>IF(K95=" "," ",K95-(K96+K97))</f>
        <v>647964.0149246579</v>
      </c>
      <c r="L98" s="6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</row>
    <row r="99" spans="1:29" ht="15" customHeight="1" thickBot="1">
      <c r="A99" s="14"/>
      <c r="B99" s="107" t="s">
        <v>116</v>
      </c>
      <c r="C99" s="323"/>
      <c r="D99" s="302"/>
      <c r="E99" s="142">
        <v>0</v>
      </c>
      <c r="F99" s="134"/>
      <c r="G99" s="134"/>
      <c r="H99" s="134"/>
      <c r="I99" s="146" t="s">
        <v>117</v>
      </c>
      <c r="J99" s="302"/>
      <c r="K99" s="147">
        <f>E105</f>
        <v>98971.84126362987</v>
      </c>
      <c r="L99" s="6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</row>
    <row r="100" spans="1:29" ht="15" customHeight="1" thickBot="1">
      <c r="A100" s="14"/>
      <c r="B100" s="107" t="s">
        <v>118</v>
      </c>
      <c r="C100" s="323"/>
      <c r="D100" s="302"/>
      <c r="E100" s="145">
        <f>E97-(E98+E99)</f>
        <v>1162469.211261526</v>
      </c>
      <c r="F100" s="134"/>
      <c r="G100" s="134"/>
      <c r="H100" s="134"/>
      <c r="I100" s="146" t="s">
        <v>119</v>
      </c>
      <c r="J100" s="302"/>
      <c r="K100" s="147">
        <f>IF(K95=" "," ",K98-K99)</f>
        <v>548992.173661028</v>
      </c>
      <c r="L100" s="6"/>
      <c r="M100" s="34"/>
      <c r="N100" s="164"/>
      <c r="O100" s="165"/>
      <c r="P100" s="165" t="s">
        <v>120</v>
      </c>
      <c r="Q100" s="165"/>
      <c r="R100" s="165"/>
      <c r="S100" s="165"/>
      <c r="T100" s="165"/>
      <c r="U100" s="165"/>
      <c r="V100" s="165"/>
      <c r="W100" s="165"/>
      <c r="X100" s="166"/>
      <c r="Y100" s="34"/>
      <c r="Z100" s="34"/>
      <c r="AA100" s="34"/>
      <c r="AB100" s="34"/>
      <c r="AC100" s="34"/>
    </row>
    <row r="101" spans="1:29" ht="15" customHeight="1" thickBot="1" thickTop="1">
      <c r="A101" s="14"/>
      <c r="B101" s="107" t="s">
        <v>110</v>
      </c>
      <c r="C101" s="323"/>
      <c r="D101" s="302"/>
      <c r="E101" s="145">
        <f>K95</f>
        <v>1564245.8225872566</v>
      </c>
      <c r="F101" s="134"/>
      <c r="G101" s="134"/>
      <c r="H101" s="134"/>
      <c r="I101" s="143"/>
      <c r="J101" s="305" t="s">
        <v>121</v>
      </c>
      <c r="K101" s="106"/>
      <c r="L101" s="6"/>
      <c r="M101" s="34"/>
      <c r="N101" s="167" t="s">
        <v>122</v>
      </c>
      <c r="O101" s="168"/>
      <c r="P101" s="168">
        <v>0</v>
      </c>
      <c r="Q101" s="168">
        <f>P101+1</f>
        <v>1</v>
      </c>
      <c r="R101" s="168"/>
      <c r="S101" s="168">
        <f>Q101+1</f>
        <v>2</v>
      </c>
      <c r="T101" s="168">
        <f>S101+1</f>
        <v>3</v>
      </c>
      <c r="U101" s="168">
        <f>T101+1</f>
        <v>4</v>
      </c>
      <c r="V101" s="168">
        <f>U101+1</f>
        <v>5</v>
      </c>
      <c r="W101" s="168">
        <f>V101+1</f>
        <v>6</v>
      </c>
      <c r="X101" s="169">
        <f>W101+1</f>
        <v>7</v>
      </c>
      <c r="Y101" s="34"/>
      <c r="Z101" s="34"/>
      <c r="AA101" s="34"/>
      <c r="AB101" s="34"/>
      <c r="AC101" s="34"/>
    </row>
    <row r="102" spans="1:29" ht="15" customHeight="1" thickTop="1">
      <c r="A102" s="14"/>
      <c r="B102" s="107" t="s">
        <v>123</v>
      </c>
      <c r="C102" s="323"/>
      <c r="D102" s="302"/>
      <c r="E102" s="145">
        <f>IF(E100&gt;0,E100," ")</f>
        <v>1162469.211261526</v>
      </c>
      <c r="F102" s="134"/>
      <c r="G102" s="134"/>
      <c r="H102" s="134"/>
      <c r="I102" s="143" t="s">
        <v>124</v>
      </c>
      <c r="J102" s="306"/>
      <c r="K102" s="148">
        <f>C7/C24</f>
        <v>5.565350572563267</v>
      </c>
      <c r="L102" s="6"/>
      <c r="M102" s="34"/>
      <c r="N102" s="170" t="s">
        <v>125</v>
      </c>
      <c r="O102" s="149"/>
      <c r="P102" s="149">
        <f>C12*-1</f>
        <v>-396875</v>
      </c>
      <c r="Q102" s="149"/>
      <c r="R102" s="149"/>
      <c r="S102" s="149"/>
      <c r="T102" s="149"/>
      <c r="U102" s="149"/>
      <c r="V102" s="149"/>
      <c r="W102" s="149"/>
      <c r="X102" s="150"/>
      <c r="Y102" s="34"/>
      <c r="Z102" s="34"/>
      <c r="AA102" s="34"/>
      <c r="AB102" s="34"/>
      <c r="AC102" s="34"/>
    </row>
    <row r="103" spans="1:29" ht="15" customHeight="1">
      <c r="A103" s="14"/>
      <c r="B103" s="107" t="s">
        <v>126</v>
      </c>
      <c r="C103" s="323"/>
      <c r="D103" s="302"/>
      <c r="E103" s="145">
        <f>IF(E101&gt;0,E101-E102," ")</f>
        <v>401776.61132573057</v>
      </c>
      <c r="F103" s="134"/>
      <c r="G103" s="134"/>
      <c r="H103" s="134"/>
      <c r="I103" s="146" t="s">
        <v>6</v>
      </c>
      <c r="J103" s="307"/>
      <c r="K103" s="80">
        <f>K4</f>
        <v>0.08818332</v>
      </c>
      <c r="L103" s="6"/>
      <c r="M103" s="34"/>
      <c r="N103" s="170" t="s">
        <v>127</v>
      </c>
      <c r="O103" s="149"/>
      <c r="P103" s="149"/>
      <c r="Q103" s="149">
        <f>C88</f>
        <v>43862.00753323879</v>
      </c>
      <c r="R103" s="149"/>
      <c r="S103" s="149">
        <f>E88</f>
        <v>38666.40753323879</v>
      </c>
      <c r="T103" s="149">
        <f>F88</f>
        <v>40466.558033238805</v>
      </c>
      <c r="U103" s="149">
        <f>H88</f>
        <v>42266.67880823882</v>
      </c>
      <c r="V103" s="149">
        <f>I88</f>
        <v>44064.60759688882</v>
      </c>
      <c r="W103" s="149">
        <f>J88</f>
        <v>45858.030815214326</v>
      </c>
      <c r="X103" s="150">
        <f>K88</f>
        <v>47644.47555874623</v>
      </c>
      <c r="Y103" s="34"/>
      <c r="Z103" s="34"/>
      <c r="AA103" s="34"/>
      <c r="AB103" s="34"/>
      <c r="AC103" s="34"/>
    </row>
    <row r="104" spans="1:29" ht="15" customHeight="1" thickBot="1">
      <c r="A104" s="14"/>
      <c r="B104" s="107" t="s">
        <v>128</v>
      </c>
      <c r="C104" s="323"/>
      <c r="D104" s="302"/>
      <c r="E104" s="151">
        <f>SUM(K45:K46)</f>
        <v>0.24</v>
      </c>
      <c r="F104" s="134"/>
      <c r="G104" s="134"/>
      <c r="H104" s="134"/>
      <c r="I104" s="152" t="s">
        <v>129</v>
      </c>
      <c r="J104" s="308"/>
      <c r="K104" s="80">
        <f>C92</f>
        <v>0.09745639693414498</v>
      </c>
      <c r="L104" s="6"/>
      <c r="M104" s="34"/>
      <c r="N104" s="170" t="s">
        <v>130</v>
      </c>
      <c r="O104" s="149"/>
      <c r="P104" s="149"/>
      <c r="Q104" s="149"/>
      <c r="R104" s="149"/>
      <c r="S104" s="149"/>
      <c r="T104" s="149"/>
      <c r="U104" s="149"/>
      <c r="V104" s="149"/>
      <c r="W104" s="149"/>
      <c r="X104" s="150">
        <f>K98</f>
        <v>647964.0149246579</v>
      </c>
      <c r="Y104" s="34"/>
      <c r="Z104" s="34"/>
      <c r="AA104" s="34"/>
      <c r="AB104" s="34"/>
      <c r="AC104" s="34"/>
    </row>
    <row r="105" spans="1:29" ht="15" customHeight="1" thickBot="1">
      <c r="A105" s="14"/>
      <c r="B105" s="153" t="s">
        <v>131</v>
      </c>
      <c r="C105" s="324"/>
      <c r="D105" s="303"/>
      <c r="E105" s="155">
        <f>SUM(E103*E104)+(E98*SUM(K47-E104))</f>
        <v>98971.84126362987</v>
      </c>
      <c r="F105" s="156"/>
      <c r="G105" s="156"/>
      <c r="H105" s="156"/>
      <c r="I105" s="157" t="s">
        <v>132</v>
      </c>
      <c r="J105" s="309"/>
      <c r="K105" s="198">
        <f>+N113</f>
        <v>0.130921872725015</v>
      </c>
      <c r="L105" s="6"/>
      <c r="M105" s="34"/>
      <c r="N105" s="171" t="s">
        <v>50</v>
      </c>
      <c r="O105" s="172"/>
      <c r="P105" s="172">
        <f>SUM(P102:P104)</f>
        <v>-396875</v>
      </c>
      <c r="Q105" s="172">
        <f aca="true" t="shared" si="16" ref="Q105:X105">SUM(Q102:Q104)</f>
        <v>43862.00753323879</v>
      </c>
      <c r="R105" s="172"/>
      <c r="S105" s="172">
        <f t="shared" si="16"/>
        <v>38666.40753323879</v>
      </c>
      <c r="T105" s="172">
        <f t="shared" si="16"/>
        <v>40466.558033238805</v>
      </c>
      <c r="U105" s="172">
        <f t="shared" si="16"/>
        <v>42266.67880823882</v>
      </c>
      <c r="V105" s="172">
        <f t="shared" si="16"/>
        <v>44064.60759688882</v>
      </c>
      <c r="W105" s="172">
        <f t="shared" si="16"/>
        <v>45858.030815214326</v>
      </c>
      <c r="X105" s="173">
        <f t="shared" si="16"/>
        <v>695608.4904834041</v>
      </c>
      <c r="Y105" s="34"/>
      <c r="Z105" s="34"/>
      <c r="AA105" s="34"/>
      <c r="AB105" s="34"/>
      <c r="AC105" s="34"/>
    </row>
    <row r="106" spans="1:29" ht="15" customHeight="1" thickBot="1" thickTop="1">
      <c r="A106" s="14"/>
      <c r="B106" s="213"/>
      <c r="C106" s="99"/>
      <c r="D106" s="99"/>
      <c r="E106" s="99"/>
      <c r="F106" s="99"/>
      <c r="G106" s="99"/>
      <c r="H106" s="99"/>
      <c r="I106" s="99"/>
      <c r="J106" s="99"/>
      <c r="K106" s="241"/>
      <c r="L106" s="2"/>
      <c r="M106" s="34"/>
      <c r="N106" s="197">
        <f>IRR(P105:X105)</f>
        <v>0.1625803976380218</v>
      </c>
      <c r="O106" s="197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</row>
    <row r="107" spans="1:29" ht="15" customHeight="1" thickTop="1">
      <c r="A107" s="14"/>
      <c r="B107" s="214" t="s">
        <v>134</v>
      </c>
      <c r="C107" s="158"/>
      <c r="D107" s="158"/>
      <c r="E107" s="158"/>
      <c r="F107" s="158"/>
      <c r="G107" s="158"/>
      <c r="H107" s="158"/>
      <c r="I107" s="158"/>
      <c r="J107" s="158"/>
      <c r="K107" s="242"/>
      <c r="L107" s="6"/>
      <c r="M107" s="34"/>
      <c r="N107" s="164"/>
      <c r="O107" s="165"/>
      <c r="P107" s="165" t="s">
        <v>133</v>
      </c>
      <c r="Q107" s="165"/>
      <c r="R107" s="165"/>
      <c r="S107" s="165"/>
      <c r="T107" s="165"/>
      <c r="U107" s="165"/>
      <c r="V107" s="165"/>
      <c r="W107" s="165"/>
      <c r="X107" s="166"/>
      <c r="Y107" s="34"/>
      <c r="Z107" s="34"/>
      <c r="AA107" s="34"/>
      <c r="AB107" s="34"/>
      <c r="AC107" s="34"/>
    </row>
    <row r="108" spans="1:29" ht="15" customHeight="1" thickBot="1">
      <c r="A108" s="14"/>
      <c r="B108" s="215" t="s">
        <v>135</v>
      </c>
      <c r="C108" s="91"/>
      <c r="D108" s="91"/>
      <c r="E108" s="91"/>
      <c r="F108" s="91"/>
      <c r="G108" s="91"/>
      <c r="H108" s="91"/>
      <c r="I108" s="91"/>
      <c r="J108" s="91"/>
      <c r="K108" s="243"/>
      <c r="L108" s="6"/>
      <c r="M108" s="34"/>
      <c r="N108" s="167" t="s">
        <v>122</v>
      </c>
      <c r="O108" s="168"/>
      <c r="P108" s="168">
        <v>0</v>
      </c>
      <c r="Q108" s="168">
        <f>P108+1</f>
        <v>1</v>
      </c>
      <c r="R108" s="168"/>
      <c r="S108" s="168">
        <f>Q108+1</f>
        <v>2</v>
      </c>
      <c r="T108" s="168">
        <f>S108+1</f>
        <v>3</v>
      </c>
      <c r="U108" s="168">
        <f>T108+1</f>
        <v>4</v>
      </c>
      <c r="V108" s="168">
        <f>U108+1</f>
        <v>5</v>
      </c>
      <c r="W108" s="168">
        <f>V108+1</f>
        <v>6</v>
      </c>
      <c r="X108" s="169">
        <f>W108+1</f>
        <v>7</v>
      </c>
      <c r="Y108" s="34"/>
      <c r="Z108" s="34"/>
      <c r="AA108" s="34"/>
      <c r="AB108" s="34"/>
      <c r="AC108" s="34"/>
    </row>
    <row r="109" spans="1:29" ht="15" customHeight="1" thickBot="1">
      <c r="A109" s="14"/>
      <c r="B109" s="216" t="s">
        <v>136</v>
      </c>
      <c r="C109" s="159"/>
      <c r="D109" s="159"/>
      <c r="E109" s="159"/>
      <c r="F109" s="159"/>
      <c r="G109" s="159"/>
      <c r="H109" s="159"/>
      <c r="I109" s="159"/>
      <c r="J109" s="159"/>
      <c r="K109" s="244"/>
      <c r="L109" s="6"/>
      <c r="M109" s="34"/>
      <c r="N109" s="170" t="s">
        <v>125</v>
      </c>
      <c r="O109" s="149"/>
      <c r="P109" s="149">
        <f>P102</f>
        <v>-396875</v>
      </c>
      <c r="Q109" s="149"/>
      <c r="R109" s="149"/>
      <c r="S109" s="149"/>
      <c r="T109" s="149"/>
      <c r="U109" s="149"/>
      <c r="V109" s="149"/>
      <c r="W109" s="149"/>
      <c r="X109" s="150"/>
      <c r="Y109" s="34"/>
      <c r="Z109" s="34"/>
      <c r="AA109" s="34"/>
      <c r="AB109" s="34"/>
      <c r="AC109" s="34"/>
    </row>
    <row r="110" spans="1:29" ht="13.5" customHeight="1" thickTop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M110" s="34"/>
      <c r="N110" s="170" t="s">
        <v>127</v>
      </c>
      <c r="O110" s="149"/>
      <c r="P110" s="149"/>
      <c r="Q110" s="149">
        <f>C91</f>
        <v>38678.00753323879</v>
      </c>
      <c r="R110" s="149"/>
      <c r="S110" s="149">
        <f>E91</f>
        <v>34845.40753323879</v>
      </c>
      <c r="T110" s="149">
        <f>F91</f>
        <v>35895.558033238805</v>
      </c>
      <c r="U110" s="149">
        <f>H91</f>
        <v>36931.67880823882</v>
      </c>
      <c r="V110" s="149">
        <f>I91</f>
        <v>37951.60759688882</v>
      </c>
      <c r="W110" s="149">
        <f>J91</f>
        <v>38952.030815214326</v>
      </c>
      <c r="X110" s="149">
        <f>K91</f>
        <v>39931.47555874623</v>
      </c>
      <c r="Y110" s="34"/>
      <c r="Z110" s="34"/>
      <c r="AA110" s="34"/>
      <c r="AB110" s="34"/>
      <c r="AC110" s="34"/>
    </row>
    <row r="111" spans="12:26" ht="12.75" thickBot="1">
      <c r="L111" s="3"/>
      <c r="N111" s="170" t="s">
        <v>130</v>
      </c>
      <c r="O111" s="149"/>
      <c r="P111" s="149"/>
      <c r="Q111" s="149"/>
      <c r="R111" s="149"/>
      <c r="S111" s="149"/>
      <c r="T111" s="149"/>
      <c r="U111" s="149"/>
      <c r="V111" s="149"/>
      <c r="W111" s="149"/>
      <c r="X111" s="150">
        <f>+K100</f>
        <v>548992.173661028</v>
      </c>
      <c r="Y111" s="34"/>
      <c r="Z111" s="34"/>
    </row>
    <row r="112" spans="12:26" ht="12.75" thickBot="1">
      <c r="L112" s="3"/>
      <c r="N112" s="171" t="s">
        <v>50</v>
      </c>
      <c r="O112" s="172"/>
      <c r="P112" s="172">
        <f aca="true" t="shared" si="17" ref="P112:X112">SUM(P109:P111)</f>
        <v>-396875</v>
      </c>
      <c r="Q112" s="172">
        <f t="shared" si="17"/>
        <v>38678.00753323879</v>
      </c>
      <c r="R112" s="172"/>
      <c r="S112" s="172">
        <f t="shared" si="17"/>
        <v>34845.40753323879</v>
      </c>
      <c r="T112" s="172">
        <f t="shared" si="17"/>
        <v>35895.558033238805</v>
      </c>
      <c r="U112" s="172">
        <f t="shared" si="17"/>
        <v>36931.67880823882</v>
      </c>
      <c r="V112" s="172">
        <f t="shared" si="17"/>
        <v>37951.60759688882</v>
      </c>
      <c r="W112" s="172">
        <f t="shared" si="17"/>
        <v>38952.030815214326</v>
      </c>
      <c r="X112" s="173">
        <f t="shared" si="17"/>
        <v>588923.6492197743</v>
      </c>
      <c r="Y112" s="34"/>
      <c r="Z112" s="34"/>
    </row>
    <row r="113" spans="12:26" ht="12">
      <c r="L113" s="3"/>
      <c r="N113" s="197">
        <f>IRR(P112:X112)</f>
        <v>0.130921872725015</v>
      </c>
      <c r="O113" s="197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2">
      <c r="L114" s="3"/>
    </row>
    <row r="115" ht="12">
      <c r="L115" s="3"/>
    </row>
    <row r="116" ht="12">
      <c r="L116" s="3"/>
    </row>
    <row r="117" ht="12">
      <c r="L117" s="3"/>
    </row>
    <row r="118" ht="12">
      <c r="L118" s="3"/>
    </row>
    <row r="119" ht="12">
      <c r="L119" s="3"/>
    </row>
    <row r="120" ht="12">
      <c r="L120" s="3"/>
    </row>
    <row r="121" ht="12">
      <c r="L121" s="3"/>
    </row>
    <row r="122" ht="12">
      <c r="L122" s="3"/>
    </row>
    <row r="123" ht="12">
      <c r="L123" s="3"/>
    </row>
    <row r="124" ht="12">
      <c r="L124" s="3"/>
    </row>
    <row r="125" ht="12">
      <c r="L125" s="3"/>
    </row>
    <row r="126" ht="12">
      <c r="L126" s="3"/>
    </row>
    <row r="127" ht="12">
      <c r="L127" s="3"/>
    </row>
    <row r="128" ht="12">
      <c r="L128" s="3"/>
    </row>
    <row r="129" ht="12">
      <c r="L129" s="3"/>
    </row>
    <row r="130" ht="12">
      <c r="L130" s="3"/>
    </row>
    <row r="131" ht="12">
      <c r="L131" s="3"/>
    </row>
    <row r="132" ht="12">
      <c r="L132" s="3"/>
    </row>
    <row r="133" ht="12">
      <c r="L133" s="3"/>
    </row>
    <row r="134" ht="12">
      <c r="L134" s="3"/>
    </row>
    <row r="135" ht="12">
      <c r="L135" s="3"/>
    </row>
    <row r="136" ht="12">
      <c r="L136" s="3"/>
    </row>
    <row r="137" ht="12">
      <c r="L137" s="3"/>
    </row>
    <row r="138" ht="12">
      <c r="L138" s="3"/>
    </row>
    <row r="139" ht="12">
      <c r="L139" s="3"/>
    </row>
  </sheetData>
  <sheetProtection/>
  <mergeCells count="8">
    <mergeCell ref="O35:Q35"/>
    <mergeCell ref="O36:R36"/>
    <mergeCell ref="C5:E5"/>
    <mergeCell ref="H5:I5"/>
    <mergeCell ref="H53:K53"/>
    <mergeCell ref="H38:K38"/>
    <mergeCell ref="H50:J50"/>
    <mergeCell ref="H51:K51"/>
  </mergeCells>
  <conditionalFormatting sqref="K19 S11:S16 S18:S22 K24:K35">
    <cfRule type="cellIs" priority="1" dxfId="0" operator="equal" stopIfTrue="1">
      <formula>0</formula>
    </cfRule>
  </conditionalFormatting>
  <dataValidations count="1">
    <dataValidation type="list" allowBlank="1" showInputMessage="1" showErrorMessage="1" sqref="P7">
      <formula1>Apartment!$P$2:$P$4</formula1>
    </dataValidation>
  </dataValidations>
  <printOptions horizontalCentered="1"/>
  <pageMargins left="0.25" right="0.25" top="0.5" bottom="0.5" header="0.25" footer="0.25"/>
  <pageSetup horizontalDpi="300" verticalDpi="300" orientation="portrait" scale="75"/>
  <rowBreaks count="1" manualBreakCount="1">
    <brk id="57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D114"/>
  <sheetViews>
    <sheetView workbookViewId="0" topLeftCell="B70">
      <selection activeCell="E25" sqref="E25"/>
    </sheetView>
  </sheetViews>
  <sheetFormatPr defaultColWidth="8.8515625" defaultRowHeight="12.75"/>
  <cols>
    <col min="1" max="1" width="3.421875" style="0" customWidth="1"/>
    <col min="2" max="2" width="23.00390625" style="0" customWidth="1"/>
    <col min="3" max="3" width="14.7109375" style="0" customWidth="1"/>
    <col min="4" max="4" width="5.421875" style="0" customWidth="1"/>
    <col min="5" max="5" width="12.28125" style="0" customWidth="1"/>
    <col min="6" max="6" width="11.7109375" style="0" customWidth="1"/>
    <col min="7" max="7" width="5.00390625" style="0" customWidth="1"/>
    <col min="8" max="8" width="11.7109375" style="0" customWidth="1"/>
    <col min="9" max="9" width="15.8515625" style="0" customWidth="1"/>
    <col min="10" max="10" width="17.421875" style="0" customWidth="1"/>
    <col min="11" max="11" width="17.00390625" style="0" customWidth="1"/>
    <col min="12" max="12" width="3.421875" style="0" customWidth="1"/>
    <col min="13" max="13" width="9.28125" style="0" bestFit="1" customWidth="1"/>
    <col min="14" max="14" width="10.421875" style="0" bestFit="1" customWidth="1"/>
    <col min="15" max="15" width="3.7109375" style="0" customWidth="1"/>
    <col min="16" max="16" width="11.00390625" style="0" customWidth="1"/>
    <col min="17" max="17" width="8.8515625" style="0" customWidth="1"/>
    <col min="18" max="18" width="3.421875" style="0" customWidth="1"/>
  </cols>
  <sheetData>
    <row r="1" spans="1:12" ht="1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6.5">
      <c r="A2" s="14"/>
      <c r="B2" s="416" t="s">
        <v>181</v>
      </c>
      <c r="C2" s="245"/>
      <c r="D2" s="245"/>
      <c r="E2" s="246" t="s">
        <v>0</v>
      </c>
      <c r="F2" s="247"/>
      <c r="G2" s="247"/>
      <c r="H2" s="245"/>
      <c r="I2" s="248" t="s">
        <v>1</v>
      </c>
      <c r="J2" s="268" t="s">
        <v>7</v>
      </c>
      <c r="K2" s="249">
        <f ca="1">TODAY()</f>
        <v>41663</v>
      </c>
      <c r="L2" s="2"/>
    </row>
    <row r="3" spans="1:12" ht="18" thickBot="1">
      <c r="A3" s="14"/>
      <c r="B3" s="250" t="s">
        <v>3</v>
      </c>
      <c r="C3" s="251"/>
      <c r="D3" s="251"/>
      <c r="E3" s="251"/>
      <c r="F3" s="251"/>
      <c r="G3" s="251"/>
      <c r="H3" s="250" t="s">
        <v>4</v>
      </c>
      <c r="I3" s="251"/>
      <c r="J3" s="251"/>
      <c r="K3" s="251"/>
      <c r="L3" s="2"/>
    </row>
    <row r="4" spans="1:12" ht="16.5" thickBot="1" thickTop="1">
      <c r="A4" s="14"/>
      <c r="B4" s="199" t="s">
        <v>5</v>
      </c>
      <c r="C4" s="176"/>
      <c r="D4" s="176"/>
      <c r="E4" s="177"/>
      <c r="F4" s="177"/>
      <c r="G4" s="177"/>
      <c r="H4" s="350">
        <v>0</v>
      </c>
      <c r="I4" s="5" t="s">
        <v>184</v>
      </c>
      <c r="J4" s="359" t="s">
        <v>6</v>
      </c>
      <c r="K4" s="360" t="e">
        <f>C51/C7</f>
        <v>#DIV/0!</v>
      </c>
      <c r="L4" s="6"/>
    </row>
    <row r="5" spans="1:12" ht="15" customHeight="1" thickBot="1" thickTop="1">
      <c r="A5" s="14"/>
      <c r="B5" s="200" t="s">
        <v>8</v>
      </c>
      <c r="C5" s="456"/>
      <c r="D5" s="456"/>
      <c r="E5" s="456"/>
      <c r="F5" s="7"/>
      <c r="G5" s="7"/>
      <c r="H5" s="457" t="s">
        <v>165</v>
      </c>
      <c r="I5" s="457"/>
      <c r="J5" s="7"/>
      <c r="K5" s="351" t="s">
        <v>166</v>
      </c>
      <c r="L5" s="6"/>
    </row>
    <row r="6" spans="1:12" ht="15" customHeight="1" thickBot="1">
      <c r="A6" s="14"/>
      <c r="B6" s="201" t="s">
        <v>9</v>
      </c>
      <c r="C6" s="8"/>
      <c r="D6" s="8"/>
      <c r="E6" s="8"/>
      <c r="F6" s="9"/>
      <c r="G6" s="9"/>
      <c r="H6" s="10" t="s">
        <v>10</v>
      </c>
      <c r="I6" s="8"/>
      <c r="J6" s="8"/>
      <c r="K6" s="217"/>
      <c r="L6" s="6"/>
    </row>
    <row r="7" spans="1:12" ht="15" customHeight="1">
      <c r="A7" s="14"/>
      <c r="B7" s="346" t="s">
        <v>11</v>
      </c>
      <c r="C7" s="361">
        <v>0</v>
      </c>
      <c r="D7" s="278"/>
      <c r="E7" s="11"/>
      <c r="F7" s="12"/>
      <c r="G7" s="189"/>
      <c r="H7" s="352" t="str">
        <f>IF(P7="apartment","Purchase Price Per Unit","Purchase Price Per Foot")</f>
        <v>Purchase Price Per Foot</v>
      </c>
      <c r="I7" s="353"/>
      <c r="J7" s="353"/>
      <c r="K7" s="354" t="e">
        <f>C7/H4</f>
        <v>#DIV/0!</v>
      </c>
      <c r="L7" s="14"/>
    </row>
    <row r="8" spans="1:12" ht="15" customHeight="1">
      <c r="A8" s="14"/>
      <c r="B8" s="346" t="s">
        <v>137</v>
      </c>
      <c r="C8" s="362">
        <f>+C7*0.7</f>
        <v>0</v>
      </c>
      <c r="D8" s="279"/>
      <c r="E8" s="15" t="s">
        <v>12</v>
      </c>
      <c r="F8" s="16">
        <f>C7*0.2</f>
        <v>0</v>
      </c>
      <c r="G8" s="185"/>
      <c r="H8" s="352" t="s">
        <v>13</v>
      </c>
      <c r="I8" s="353"/>
      <c r="J8" s="353"/>
      <c r="K8" s="355" t="e">
        <f>K4</f>
        <v>#DIV/0!</v>
      </c>
      <c r="L8" s="14"/>
    </row>
    <row r="9" spans="1:12" ht="15" customHeight="1">
      <c r="A9" s="14"/>
      <c r="B9" s="348" t="s">
        <v>14</v>
      </c>
      <c r="C9" s="347">
        <f>C7-C8</f>
        <v>0</v>
      </c>
      <c r="D9" s="279"/>
      <c r="E9" s="15" t="s">
        <v>15</v>
      </c>
      <c r="F9" s="17">
        <f>C7-F8</f>
        <v>0</v>
      </c>
      <c r="G9" s="183"/>
      <c r="H9" s="356" t="s">
        <v>16</v>
      </c>
      <c r="I9" s="357"/>
      <c r="J9" s="353"/>
      <c r="K9" s="355" t="e">
        <f>C89</f>
        <v>#VALUE!</v>
      </c>
      <c r="L9" s="14"/>
    </row>
    <row r="10" spans="1:12" ht="15" customHeight="1">
      <c r="A10" s="14"/>
      <c r="B10" s="348" t="s">
        <v>17</v>
      </c>
      <c r="C10" s="362">
        <v>0</v>
      </c>
      <c r="D10" s="279"/>
      <c r="E10" s="15" t="s">
        <v>18</v>
      </c>
      <c r="F10" s="377">
        <f>C31</f>
        <v>0</v>
      </c>
      <c r="G10" s="57"/>
      <c r="H10" s="352" t="s">
        <v>19</v>
      </c>
      <c r="I10" s="353"/>
      <c r="J10" s="353"/>
      <c r="K10" s="355" t="e">
        <f>AVERAGE(C89:K89)</f>
        <v>#VALUE!</v>
      </c>
      <c r="L10" s="14"/>
    </row>
    <row r="11" spans="1:12" ht="15" customHeight="1">
      <c r="A11" s="14"/>
      <c r="B11" s="348" t="s">
        <v>138</v>
      </c>
      <c r="C11" s="363">
        <v>0</v>
      </c>
      <c r="D11" s="182"/>
      <c r="E11" s="19" t="s">
        <v>20</v>
      </c>
      <c r="F11" s="20" t="e">
        <f>C8/C7</f>
        <v>#DIV/0!</v>
      </c>
      <c r="G11" s="186"/>
      <c r="H11" s="352" t="s">
        <v>21</v>
      </c>
      <c r="I11" s="353"/>
      <c r="J11" s="353"/>
      <c r="K11" s="355" t="e">
        <f>N106</f>
        <v>#VALUE!</v>
      </c>
      <c r="L11" s="14"/>
    </row>
    <row r="12" spans="1:12" ht="15" customHeight="1" thickBot="1">
      <c r="A12" s="14"/>
      <c r="B12" s="346" t="s">
        <v>22</v>
      </c>
      <c r="C12" s="349">
        <f>SUM(C9:C11)</f>
        <v>0</v>
      </c>
      <c r="D12" s="181"/>
      <c r="E12" s="19" t="s">
        <v>23</v>
      </c>
      <c r="F12" s="21" t="e">
        <f>C51/C52</f>
        <v>#VALUE!</v>
      </c>
      <c r="G12" s="187"/>
      <c r="H12" s="352"/>
      <c r="I12" s="357"/>
      <c r="J12" s="353"/>
      <c r="K12" s="358"/>
      <c r="L12" s="14"/>
    </row>
    <row r="13" spans="1:12" ht="15" customHeight="1">
      <c r="A13" s="14"/>
      <c r="B13" s="338" t="s">
        <v>24</v>
      </c>
      <c r="C13" s="22" t="s">
        <v>25</v>
      </c>
      <c r="D13" s="280" t="s">
        <v>139</v>
      </c>
      <c r="E13" s="23" t="s">
        <v>26</v>
      </c>
      <c r="F13" s="23" t="s">
        <v>27</v>
      </c>
      <c r="G13" s="262" t="s">
        <v>142</v>
      </c>
      <c r="H13" s="23" t="s">
        <v>28</v>
      </c>
      <c r="I13" s="23" t="s">
        <v>29</v>
      </c>
      <c r="J13" s="24" t="s">
        <v>30</v>
      </c>
      <c r="K13" s="218" t="s">
        <v>31</v>
      </c>
      <c r="L13" s="6"/>
    </row>
    <row r="14" spans="1:12" ht="15" customHeight="1">
      <c r="A14" s="14"/>
      <c r="B14" s="203"/>
      <c r="C14" s="25" t="s">
        <v>32</v>
      </c>
      <c r="D14" s="281" t="s">
        <v>140</v>
      </c>
      <c r="E14" s="26" t="s">
        <v>33</v>
      </c>
      <c r="F14" s="26" t="s">
        <v>34</v>
      </c>
      <c r="G14" s="263" t="s">
        <v>143</v>
      </c>
      <c r="H14" s="26" t="s">
        <v>35</v>
      </c>
      <c r="I14" s="26" t="s">
        <v>36</v>
      </c>
      <c r="J14" s="27" t="s">
        <v>37</v>
      </c>
      <c r="K14" s="219" t="s">
        <v>38</v>
      </c>
      <c r="L14" s="28" t="s">
        <v>39</v>
      </c>
    </row>
    <row r="15" spans="1:12" ht="15" customHeight="1">
      <c r="A15" s="14"/>
      <c r="B15" s="204" t="s">
        <v>186</v>
      </c>
      <c r="C15" s="29">
        <f>+C8</f>
        <v>0</v>
      </c>
      <c r="D15" s="282" t="s">
        <v>141</v>
      </c>
      <c r="E15" s="264">
        <v>25</v>
      </c>
      <c r="F15" s="264">
        <v>12</v>
      </c>
      <c r="G15" s="343">
        <v>10</v>
      </c>
      <c r="H15" s="364">
        <v>0.065</v>
      </c>
      <c r="I15" s="32" t="str">
        <f>IF(C15&gt;0,IF(D15="y",C15*H15/12,PMT(H15/12,E15*F15,-C15))," ")</f>
        <v> </v>
      </c>
      <c r="J15" s="33" t="e">
        <f>I15*F15</f>
        <v>#VALUE!</v>
      </c>
      <c r="K15" s="220" t="str">
        <f>IF(C15&gt;0,C7*0.015," ")</f>
        <v> </v>
      </c>
      <c r="L15" s="6"/>
    </row>
    <row r="16" spans="1:12" ht="15" customHeight="1">
      <c r="A16" s="14"/>
      <c r="B16" s="204" t="s">
        <v>187</v>
      </c>
      <c r="C16" s="29">
        <v>0</v>
      </c>
      <c r="D16" s="282"/>
      <c r="E16" s="30">
        <v>0</v>
      </c>
      <c r="F16" s="30">
        <v>0</v>
      </c>
      <c r="G16" s="343"/>
      <c r="H16" s="31">
        <v>0</v>
      </c>
      <c r="I16" s="86">
        <f>IF(C16&gt;0,IF(D16="y",C16*H16/12,PMT(H16/12,E16*F16,-C16)),0)</f>
        <v>0</v>
      </c>
      <c r="J16" s="33">
        <f>+I16*F16</f>
        <v>0</v>
      </c>
      <c r="K16" s="220" t="str">
        <f>IF(C16&gt;0,C16*0.02," ")</f>
        <v> </v>
      </c>
      <c r="L16" s="6"/>
    </row>
    <row r="17" spans="1:12" ht="15" customHeight="1">
      <c r="A17" s="14"/>
      <c r="B17" s="204" t="s">
        <v>144</v>
      </c>
      <c r="C17" s="29">
        <f>+C15</f>
        <v>0</v>
      </c>
      <c r="D17" s="282" t="s">
        <v>141</v>
      </c>
      <c r="E17" s="264">
        <v>25</v>
      </c>
      <c r="F17" s="264">
        <v>12</v>
      </c>
      <c r="G17" s="343">
        <v>10</v>
      </c>
      <c r="H17" s="364">
        <f>+H15</f>
        <v>0.065</v>
      </c>
      <c r="I17" s="32" t="str">
        <f>IF(C17&gt;0,IF(D17="y",C17*H17/12,PMT(H17/12,E17*F17,-C17))," ")</f>
        <v> </v>
      </c>
      <c r="J17" s="33" t="str">
        <f>IF(+C17&gt;0,+I17*F17," ")</f>
        <v> </v>
      </c>
      <c r="K17" s="220" t="str">
        <f>IF(C17&gt;0,C7*0.015," ")</f>
        <v> </v>
      </c>
      <c r="L17" s="6"/>
    </row>
    <row r="18" spans="1:12" ht="15" customHeight="1">
      <c r="A18" s="14"/>
      <c r="B18" s="204" t="s">
        <v>40</v>
      </c>
      <c r="C18" s="29">
        <v>0</v>
      </c>
      <c r="D18" s="283"/>
      <c r="E18" s="30">
        <v>0</v>
      </c>
      <c r="F18" s="30">
        <v>0</v>
      </c>
      <c r="G18" s="344"/>
      <c r="H18" s="31">
        <v>0</v>
      </c>
      <c r="I18" s="86">
        <f>IF(C18&gt;0,IF(D18="y",C18*H18/12,PMT(H18/12,E18*F18,-C18)),0)</f>
        <v>0</v>
      </c>
      <c r="J18" s="33">
        <f>+I18*F18</f>
        <v>0</v>
      </c>
      <c r="K18" s="221" t="str">
        <f>IF(C18&gt;0,C18*0.02," ")</f>
        <v> </v>
      </c>
      <c r="L18" s="6"/>
    </row>
    <row r="19" spans="1:12" ht="15" customHeight="1" thickBot="1">
      <c r="A19" s="14"/>
      <c r="B19" s="205" t="s">
        <v>41</v>
      </c>
      <c r="C19" s="178">
        <v>0</v>
      </c>
      <c r="D19" s="284"/>
      <c r="E19" s="179">
        <v>0</v>
      </c>
      <c r="F19" s="179">
        <v>0</v>
      </c>
      <c r="G19" s="179"/>
      <c r="H19" s="180">
        <v>0</v>
      </c>
      <c r="I19" s="86">
        <f>IF(C19&gt;0,IF(D19="y",C19*H19/12,PMT(H19/12,E19*F19,-C19)),0)</f>
        <v>0</v>
      </c>
      <c r="J19" s="33">
        <f>+I19*F19</f>
        <v>0</v>
      </c>
      <c r="K19" s="222">
        <f>C19*0.02</f>
        <v>0</v>
      </c>
      <c r="L19" s="6"/>
    </row>
    <row r="20" spans="1:12" ht="15" customHeight="1">
      <c r="A20" s="14"/>
      <c r="B20" s="206"/>
      <c r="C20" s="345"/>
      <c r="D20" s="184"/>
      <c r="E20" s="184"/>
      <c r="F20" s="184"/>
      <c r="G20" s="184"/>
      <c r="H20" s="184"/>
      <c r="I20" s="184"/>
      <c r="J20" s="184"/>
      <c r="K20" s="223"/>
      <c r="L20" s="6"/>
    </row>
    <row r="21" spans="1:12" ht="15" customHeight="1" thickBot="1">
      <c r="A21" s="14"/>
      <c r="B21" s="207" t="s">
        <v>42</v>
      </c>
      <c r="C21" s="417" t="s">
        <v>43</v>
      </c>
      <c r="D21" s="35"/>
      <c r="E21" s="36"/>
      <c r="F21" s="36"/>
      <c r="G21" s="36"/>
      <c r="H21" s="36"/>
      <c r="I21" s="36"/>
      <c r="J21" s="36"/>
      <c r="K21" s="224"/>
      <c r="L21" s="6"/>
    </row>
    <row r="22" spans="1:12" ht="15" customHeight="1" thickBot="1">
      <c r="A22" s="14"/>
      <c r="B22" s="208"/>
      <c r="C22" s="37" t="s">
        <v>44</v>
      </c>
      <c r="D22" s="37"/>
      <c r="E22" s="9"/>
      <c r="F22" s="38"/>
      <c r="G22" s="9"/>
      <c r="H22" s="39"/>
      <c r="I22" s="8"/>
      <c r="J22" s="40" t="s">
        <v>153</v>
      </c>
      <c r="K22" s="225"/>
      <c r="L22" s="6"/>
    </row>
    <row r="23" spans="1:12" ht="15" customHeight="1" thickBot="1">
      <c r="A23" s="14"/>
      <c r="B23" s="208"/>
      <c r="C23" s="41" t="s">
        <v>46</v>
      </c>
      <c r="D23" s="277"/>
      <c r="E23" s="42" t="s">
        <v>47</v>
      </c>
      <c r="F23" s="43" t="s">
        <v>185</v>
      </c>
      <c r="G23" s="188"/>
      <c r="H23" s="480" t="s">
        <v>49</v>
      </c>
      <c r="I23" s="481"/>
      <c r="J23" s="476" t="s">
        <v>152</v>
      </c>
      <c r="K23" s="477"/>
      <c r="L23" s="6"/>
    </row>
    <row r="24" spans="1:12" ht="15" customHeight="1">
      <c r="A24" s="14"/>
      <c r="B24" s="209" t="s">
        <v>51</v>
      </c>
      <c r="C24" s="365">
        <v>0</v>
      </c>
      <c r="D24" s="285"/>
      <c r="E24" s="192" t="e">
        <f>C24/$C$29</f>
        <v>#DIV/0!</v>
      </c>
      <c r="F24" s="329" t="e">
        <f>C24/$K$42</f>
        <v>#DIV/0!</v>
      </c>
      <c r="G24" s="68"/>
      <c r="H24" s="482" t="s">
        <v>58</v>
      </c>
      <c r="I24" s="483"/>
      <c r="J24" s="478" t="s">
        <v>155</v>
      </c>
      <c r="K24" s="479"/>
      <c r="L24" s="6"/>
    </row>
    <row r="25" spans="1:12" ht="15" customHeight="1">
      <c r="A25" s="14"/>
      <c r="B25" s="204" t="s">
        <v>157</v>
      </c>
      <c r="C25" s="366">
        <v>0</v>
      </c>
      <c r="D25" s="286"/>
      <c r="E25" s="193" t="e">
        <f>C25/$C$29</f>
        <v>#DIV/0!</v>
      </c>
      <c r="F25" s="329" t="e">
        <f aca="true" t="shared" si="0" ref="F25:F53">C25/$K$42</f>
        <v>#DIV/0!</v>
      </c>
      <c r="G25" s="68"/>
      <c r="H25" s="466" t="s">
        <v>60</v>
      </c>
      <c r="I25" s="467"/>
      <c r="J25" s="464">
        <v>0</v>
      </c>
      <c r="K25" s="465"/>
      <c r="L25" s="6"/>
    </row>
    <row r="26" spans="1:12" ht="15" customHeight="1">
      <c r="A26" s="14"/>
      <c r="B26" s="204" t="s">
        <v>52</v>
      </c>
      <c r="C26" s="47">
        <f>C24+C25</f>
        <v>0</v>
      </c>
      <c r="D26" s="287"/>
      <c r="E26" s="193" t="e">
        <f>C26/$C$29</f>
        <v>#DIV/0!</v>
      </c>
      <c r="F26" s="329" t="e">
        <f t="shared" si="0"/>
        <v>#DIV/0!</v>
      </c>
      <c r="G26" s="68"/>
      <c r="H26" s="466" t="s">
        <v>147</v>
      </c>
      <c r="I26" s="467"/>
      <c r="J26" s="474">
        <f>H4</f>
        <v>0</v>
      </c>
      <c r="K26" s="475"/>
      <c r="L26" s="6"/>
    </row>
    <row r="27" spans="1:12" ht="15" customHeight="1">
      <c r="A27" s="14"/>
      <c r="B27" s="204" t="s">
        <v>53</v>
      </c>
      <c r="C27" s="389">
        <f>C26*-E27</f>
        <v>0</v>
      </c>
      <c r="D27" s="288"/>
      <c r="E27" s="390">
        <v>0.05</v>
      </c>
      <c r="F27" s="329" t="e">
        <f>C27/$K$42*-1</f>
        <v>#DIV/0!</v>
      </c>
      <c r="G27" s="68"/>
      <c r="H27" s="466" t="s">
        <v>63</v>
      </c>
      <c r="I27" s="467"/>
      <c r="J27" s="490">
        <v>0</v>
      </c>
      <c r="K27" s="491"/>
      <c r="L27" s="6"/>
    </row>
    <row r="28" spans="1:12" ht="15" customHeight="1">
      <c r="A28" s="14"/>
      <c r="B28" s="210" t="s">
        <v>162</v>
      </c>
      <c r="C28" s="367">
        <v>0</v>
      </c>
      <c r="D28" s="288"/>
      <c r="E28" s="193" t="e">
        <f>C28/C29*1</f>
        <v>#DIV/0!</v>
      </c>
      <c r="F28" s="329" t="e">
        <f>C28/$K$42*-1</f>
        <v>#DIV/0!</v>
      </c>
      <c r="G28" s="68"/>
      <c r="H28" s="466" t="s">
        <v>156</v>
      </c>
      <c r="I28" s="467"/>
      <c r="J28" s="464">
        <v>0</v>
      </c>
      <c r="K28" s="465"/>
      <c r="L28" s="6"/>
    </row>
    <row r="29" spans="1:12" ht="15" customHeight="1">
      <c r="A29" s="14"/>
      <c r="B29" s="211" t="s">
        <v>55</v>
      </c>
      <c r="C29" s="53">
        <f>SUM(C26+(C28+C27))</f>
        <v>0</v>
      </c>
      <c r="D29" s="289"/>
      <c r="E29" s="270"/>
      <c r="F29" s="330" t="e">
        <f t="shared" si="0"/>
        <v>#DIV/0!</v>
      </c>
      <c r="G29" s="68"/>
      <c r="H29" s="468" t="s">
        <v>159</v>
      </c>
      <c r="I29" s="469"/>
      <c r="J29" s="488">
        <v>0</v>
      </c>
      <c r="K29" s="489"/>
      <c r="L29" s="6"/>
    </row>
    <row r="30" spans="1:12" ht="15" customHeight="1">
      <c r="A30" s="14"/>
      <c r="B30" s="272"/>
      <c r="C30" s="273"/>
      <c r="D30" s="290"/>
      <c r="E30" s="274"/>
      <c r="F30" s="331"/>
      <c r="G30" s="68"/>
      <c r="H30" s="466" t="s">
        <v>148</v>
      </c>
      <c r="I30" s="467"/>
      <c r="J30" s="464">
        <v>0</v>
      </c>
      <c r="K30" s="465"/>
      <c r="L30" s="6"/>
    </row>
    <row r="31" spans="1:12" ht="15" customHeight="1">
      <c r="A31" s="14"/>
      <c r="B31" s="56" t="s">
        <v>163</v>
      </c>
      <c r="C31" s="368">
        <v>0</v>
      </c>
      <c r="D31" s="291"/>
      <c r="E31" s="193" t="e">
        <f>C31/$C$29</f>
        <v>#DIV/0!</v>
      </c>
      <c r="F31" s="329" t="e">
        <f t="shared" si="0"/>
        <v>#DIV/0!</v>
      </c>
      <c r="G31" s="68"/>
      <c r="H31" s="466" t="s">
        <v>158</v>
      </c>
      <c r="I31" s="467"/>
      <c r="J31" s="464">
        <v>0</v>
      </c>
      <c r="K31" s="465"/>
      <c r="L31" s="6"/>
    </row>
    <row r="32" spans="1:12" ht="15" customHeight="1">
      <c r="A32" s="14"/>
      <c r="B32" s="56" t="s">
        <v>56</v>
      </c>
      <c r="C32" s="369">
        <v>0</v>
      </c>
      <c r="D32" s="291"/>
      <c r="E32" s="193" t="e">
        <f aca="true" t="shared" si="1" ref="E32:E46">C32/$C$29</f>
        <v>#DIV/0!</v>
      </c>
      <c r="F32" s="329" t="e">
        <f t="shared" si="0"/>
        <v>#DIV/0!</v>
      </c>
      <c r="G32" s="68"/>
      <c r="H32" s="466" t="s">
        <v>150</v>
      </c>
      <c r="I32" s="467"/>
      <c r="J32" s="472">
        <f>E27</f>
        <v>0.05</v>
      </c>
      <c r="K32" s="473"/>
      <c r="L32" s="6"/>
    </row>
    <row r="33" spans="1:12" ht="15" customHeight="1">
      <c r="A33" s="14"/>
      <c r="B33" s="56" t="s">
        <v>146</v>
      </c>
      <c r="C33" s="369">
        <v>0</v>
      </c>
      <c r="D33" s="291"/>
      <c r="E33" s="193" t="e">
        <f t="shared" si="1"/>
        <v>#DIV/0!</v>
      </c>
      <c r="F33" s="329" t="e">
        <f>C33/$K$42</f>
        <v>#DIV/0!</v>
      </c>
      <c r="G33" s="68"/>
      <c r="H33" s="466" t="s">
        <v>149</v>
      </c>
      <c r="I33" s="467"/>
      <c r="J33" s="470" t="e">
        <f>C24/J26</f>
        <v>#DIV/0!</v>
      </c>
      <c r="K33" s="471"/>
      <c r="L33" s="6"/>
    </row>
    <row r="34" spans="1:12" ht="15" customHeight="1" thickBot="1">
      <c r="A34" s="14"/>
      <c r="B34" s="56" t="s">
        <v>145</v>
      </c>
      <c r="C34" s="369">
        <v>0</v>
      </c>
      <c r="D34" s="291"/>
      <c r="E34" s="193" t="e">
        <f t="shared" si="1"/>
        <v>#DIV/0!</v>
      </c>
      <c r="F34" s="329" t="e">
        <f t="shared" si="0"/>
        <v>#DIV/0!</v>
      </c>
      <c r="G34" s="68"/>
      <c r="H34" s="484" t="s">
        <v>151</v>
      </c>
      <c r="I34" s="485"/>
      <c r="J34" s="486" t="e">
        <f>K7</f>
        <v>#DIV/0!</v>
      </c>
      <c r="K34" s="487"/>
      <c r="L34" s="6"/>
    </row>
    <row r="35" spans="1:12" ht="15" customHeight="1" thickBot="1">
      <c r="A35" s="14"/>
      <c r="B35" s="56" t="s">
        <v>164</v>
      </c>
      <c r="C35" s="369">
        <v>0</v>
      </c>
      <c r="D35" s="291"/>
      <c r="E35" s="193" t="e">
        <f t="shared" si="1"/>
        <v>#DIV/0!</v>
      </c>
      <c r="F35" s="329" t="e">
        <f t="shared" si="0"/>
        <v>#DIV/0!</v>
      </c>
      <c r="G35" s="68"/>
      <c r="L35" s="61"/>
    </row>
    <row r="36" spans="1:12" ht="15" customHeight="1" thickTop="1">
      <c r="A36" s="14"/>
      <c r="B36" s="56"/>
      <c r="C36" s="369">
        <v>0</v>
      </c>
      <c r="D36" s="291"/>
      <c r="E36" s="193" t="e">
        <f t="shared" si="1"/>
        <v>#DIV/0!</v>
      </c>
      <c r="F36" s="329" t="e">
        <f t="shared" si="0"/>
        <v>#DIV/0!</v>
      </c>
      <c r="G36" s="68"/>
      <c r="H36" s="62"/>
      <c r="I36" s="63"/>
      <c r="J36" s="64"/>
      <c r="K36" s="230"/>
      <c r="L36" s="6"/>
    </row>
    <row r="37" spans="1:12" ht="15" customHeight="1" thickBot="1">
      <c r="A37" s="14"/>
      <c r="B37" s="56"/>
      <c r="C37" s="369">
        <v>0</v>
      </c>
      <c r="D37" s="291"/>
      <c r="E37" s="193" t="e">
        <f t="shared" si="1"/>
        <v>#DIV/0!</v>
      </c>
      <c r="F37" s="329" t="e">
        <f t="shared" si="0"/>
        <v>#DIV/0!</v>
      </c>
      <c r="G37" s="68"/>
      <c r="H37" s="65"/>
      <c r="I37" s="66"/>
      <c r="J37" s="67" t="s">
        <v>161</v>
      </c>
      <c r="K37" s="231">
        <f>C51</f>
        <v>0</v>
      </c>
      <c r="L37" s="6"/>
    </row>
    <row r="38" spans="1:12" ht="15" customHeight="1">
      <c r="A38" s="14"/>
      <c r="B38" s="56"/>
      <c r="C38" s="369">
        <v>0</v>
      </c>
      <c r="D38" s="291"/>
      <c r="E38" s="193" t="e">
        <f t="shared" si="1"/>
        <v>#DIV/0!</v>
      </c>
      <c r="F38" s="332" t="e">
        <f t="shared" si="0"/>
        <v>#DIV/0!</v>
      </c>
      <c r="G38" s="190"/>
      <c r="H38" s="461" t="s">
        <v>61</v>
      </c>
      <c r="I38" s="462"/>
      <c r="J38" s="462"/>
      <c r="K38" s="463"/>
      <c r="L38" s="6"/>
    </row>
    <row r="39" spans="1:12" ht="15" customHeight="1">
      <c r="A39" s="14"/>
      <c r="B39" s="56"/>
      <c r="C39" s="369">
        <v>0</v>
      </c>
      <c r="D39" s="291"/>
      <c r="E39" s="193" t="e">
        <f t="shared" si="1"/>
        <v>#DIV/0!</v>
      </c>
      <c r="F39" s="332" t="e">
        <f t="shared" si="0"/>
        <v>#DIV/0!</v>
      </c>
      <c r="G39" s="190"/>
      <c r="H39" s="69" t="s">
        <v>62</v>
      </c>
      <c r="I39" s="70"/>
      <c r="J39" s="71"/>
      <c r="K39" s="372">
        <v>0</v>
      </c>
      <c r="L39" s="6"/>
    </row>
    <row r="40" spans="1:12" ht="15" customHeight="1">
      <c r="A40" s="14"/>
      <c r="B40" s="56"/>
      <c r="C40" s="369">
        <v>0</v>
      </c>
      <c r="D40" s="291"/>
      <c r="E40" s="193" t="e">
        <f t="shared" si="1"/>
        <v>#DIV/0!</v>
      </c>
      <c r="F40" s="332" t="e">
        <f t="shared" si="0"/>
        <v>#DIV/0!</v>
      </c>
      <c r="G40" s="190"/>
      <c r="H40" s="72" t="s">
        <v>64</v>
      </c>
      <c r="I40" s="73"/>
      <c r="J40" s="74"/>
      <c r="K40" s="371">
        <v>0</v>
      </c>
      <c r="L40" s="6"/>
    </row>
    <row r="41" spans="1:12" ht="15" customHeight="1">
      <c r="A41" s="14"/>
      <c r="B41" s="56"/>
      <c r="C41" s="369">
        <v>0</v>
      </c>
      <c r="D41" s="291"/>
      <c r="E41" s="193" t="e">
        <f t="shared" si="1"/>
        <v>#DIV/0!</v>
      </c>
      <c r="F41" s="332" t="e">
        <f t="shared" si="0"/>
        <v>#DIV/0!</v>
      </c>
      <c r="G41" s="190"/>
      <c r="H41" s="76" t="s">
        <v>65</v>
      </c>
      <c r="I41" s="77"/>
      <c r="J41" s="78"/>
      <c r="K41" s="232" t="e">
        <f>F8/C7</f>
        <v>#DIV/0!</v>
      </c>
      <c r="L41" s="6"/>
    </row>
    <row r="42" spans="1:12" ht="15" customHeight="1">
      <c r="A42" s="14"/>
      <c r="B42" s="56"/>
      <c r="C42" s="369">
        <v>0</v>
      </c>
      <c r="D42" s="291"/>
      <c r="E42" s="193" t="e">
        <f t="shared" si="1"/>
        <v>#DIV/0!</v>
      </c>
      <c r="F42" s="332" t="e">
        <f t="shared" si="0"/>
        <v>#DIV/0!</v>
      </c>
      <c r="G42" s="190"/>
      <c r="H42" s="79" t="str">
        <f>IF(J2="Apartment","Number of Units","SF of NRA")</f>
        <v>SF of NRA</v>
      </c>
      <c r="I42" s="13"/>
      <c r="J42" s="57"/>
      <c r="K42" s="412">
        <f>+H4</f>
        <v>0</v>
      </c>
      <c r="L42" s="6"/>
    </row>
    <row r="43" spans="1:12" ht="15" customHeight="1">
      <c r="A43" s="14"/>
      <c r="B43" s="56"/>
      <c r="C43" s="369">
        <v>0</v>
      </c>
      <c r="D43" s="291"/>
      <c r="E43" s="193" t="e">
        <f t="shared" si="1"/>
        <v>#DIV/0!</v>
      </c>
      <c r="F43" s="332" t="e">
        <f t="shared" si="0"/>
        <v>#DIV/0!</v>
      </c>
      <c r="G43" s="190"/>
      <c r="H43" s="79" t="s">
        <v>66</v>
      </c>
      <c r="I43" s="13"/>
      <c r="J43" s="57"/>
      <c r="K43" s="233">
        <v>7</v>
      </c>
      <c r="L43" s="6"/>
    </row>
    <row r="44" spans="1:12" ht="15" customHeight="1">
      <c r="A44" s="14"/>
      <c r="B44" s="56"/>
      <c r="C44" s="369">
        <v>0</v>
      </c>
      <c r="D44" s="291"/>
      <c r="E44" s="193" t="e">
        <f t="shared" si="1"/>
        <v>#DIV/0!</v>
      </c>
      <c r="F44" s="332" t="e">
        <f t="shared" si="0"/>
        <v>#DIV/0!</v>
      </c>
      <c r="G44" s="190"/>
      <c r="H44" s="81" t="s">
        <v>67</v>
      </c>
      <c r="I44" s="70"/>
      <c r="J44" s="71"/>
      <c r="K44" s="234">
        <v>0.3</v>
      </c>
      <c r="L44" s="6"/>
    </row>
    <row r="45" spans="1:12" ht="15" customHeight="1">
      <c r="A45" s="14"/>
      <c r="B45" s="56"/>
      <c r="C45" s="369">
        <v>0</v>
      </c>
      <c r="D45" s="291"/>
      <c r="E45" s="193" t="e">
        <f t="shared" si="1"/>
        <v>#DIV/0!</v>
      </c>
      <c r="F45" s="332" t="e">
        <f>C45/$K$42</f>
        <v>#DIV/0!</v>
      </c>
      <c r="G45" s="190"/>
      <c r="H45" s="79" t="s">
        <v>68</v>
      </c>
      <c r="I45" s="13"/>
      <c r="J45" s="57"/>
      <c r="K45" s="235">
        <v>0.15</v>
      </c>
      <c r="L45" s="6"/>
    </row>
    <row r="46" spans="1:12" ht="15" customHeight="1">
      <c r="A46" s="14"/>
      <c r="B46" s="56"/>
      <c r="C46" s="369">
        <v>0</v>
      </c>
      <c r="D46" s="291"/>
      <c r="E46" s="193" t="e">
        <f t="shared" si="1"/>
        <v>#DIV/0!</v>
      </c>
      <c r="F46" s="332" t="e">
        <f t="shared" si="0"/>
        <v>#DIV/0!</v>
      </c>
      <c r="G46" s="190"/>
      <c r="H46" s="72" t="s">
        <v>69</v>
      </c>
      <c r="I46" s="73"/>
      <c r="J46" s="74"/>
      <c r="K46" s="236">
        <v>0.09</v>
      </c>
      <c r="L46" s="6"/>
    </row>
    <row r="47" spans="1:12" ht="15" customHeight="1">
      <c r="A47" s="14"/>
      <c r="B47" s="56" t="s">
        <v>70</v>
      </c>
      <c r="C47" s="397">
        <f>C29*E47</f>
        <v>0</v>
      </c>
      <c r="D47" s="291"/>
      <c r="E47" s="370">
        <v>0.025</v>
      </c>
      <c r="F47" s="332" t="e">
        <f t="shared" si="0"/>
        <v>#DIV/0!</v>
      </c>
      <c r="G47" s="190"/>
      <c r="H47" s="69" t="s">
        <v>71</v>
      </c>
      <c r="I47" s="70"/>
      <c r="J47" s="71"/>
      <c r="K47" s="234">
        <v>0.25</v>
      </c>
      <c r="L47" s="6"/>
    </row>
    <row r="48" spans="1:12" ht="15" customHeight="1">
      <c r="A48" s="14"/>
      <c r="B48" s="275"/>
      <c r="C48" s="55"/>
      <c r="D48" s="292"/>
      <c r="E48" s="270" t="e">
        <f>C48/$C$29</f>
        <v>#DIV/0!</v>
      </c>
      <c r="F48" s="333" t="e">
        <f t="shared" si="0"/>
        <v>#DIV/0!</v>
      </c>
      <c r="G48" s="190"/>
      <c r="H48" s="72" t="s">
        <v>72</v>
      </c>
      <c r="I48" s="73"/>
      <c r="J48" s="82">
        <f>P7</f>
        <v>0</v>
      </c>
      <c r="K48" s="237">
        <f>IF(J48="Apartment",27.5,39)</f>
        <v>39</v>
      </c>
      <c r="L48" s="6"/>
    </row>
    <row r="49" spans="1:12" ht="15" customHeight="1" thickBot="1">
      <c r="A49" s="14"/>
      <c r="B49" s="202"/>
      <c r="C49" s="182"/>
      <c r="D49" s="293"/>
      <c r="E49" s="194"/>
      <c r="F49" s="334"/>
      <c r="G49" s="190"/>
      <c r="H49" s="83" t="s">
        <v>73</v>
      </c>
      <c r="I49" s="13"/>
      <c r="J49" s="13"/>
      <c r="K49" s="238"/>
      <c r="L49" s="6"/>
    </row>
    <row r="50" spans="1:12" ht="15" customHeight="1">
      <c r="A50" s="14"/>
      <c r="B50" s="121" t="s">
        <v>74</v>
      </c>
      <c r="C50" s="84">
        <f>SUM(C31:C49)</f>
        <v>0</v>
      </c>
      <c r="D50" s="294"/>
      <c r="E50" s="195" t="e">
        <f>C50/C29</f>
        <v>#DIV/0!</v>
      </c>
      <c r="F50" s="335" t="e">
        <f t="shared" si="0"/>
        <v>#DIV/0!</v>
      </c>
      <c r="G50" s="190"/>
      <c r="H50" s="453"/>
      <c r="I50" s="454"/>
      <c r="J50" s="454"/>
      <c r="K50" s="448"/>
      <c r="L50" s="6"/>
    </row>
    <row r="51" spans="1:12" ht="15" customHeight="1">
      <c r="A51" s="14"/>
      <c r="B51" s="107" t="s">
        <v>75</v>
      </c>
      <c r="C51" s="267">
        <f>C29-C50</f>
        <v>0</v>
      </c>
      <c r="D51" s="295"/>
      <c r="E51" s="193" t="e">
        <f>C51/$C$26</f>
        <v>#DIV/0!</v>
      </c>
      <c r="F51" s="332" t="e">
        <f t="shared" si="0"/>
        <v>#DIV/0!</v>
      </c>
      <c r="G51" s="190"/>
      <c r="H51" s="453"/>
      <c r="I51" s="454"/>
      <c r="J51" s="454"/>
      <c r="K51" s="455"/>
      <c r="L51" s="6"/>
    </row>
    <row r="52" spans="1:12" ht="15" customHeight="1">
      <c r="A52" s="14"/>
      <c r="B52" s="107" t="s">
        <v>76</v>
      </c>
      <c r="C52" s="266" t="e">
        <f>+J15+J16</f>
        <v>#VALUE!</v>
      </c>
      <c r="D52" s="287"/>
      <c r="E52" s="193" t="e">
        <f>C52/$C$26</f>
        <v>#VALUE!</v>
      </c>
      <c r="F52" s="332" t="e">
        <f t="shared" si="0"/>
        <v>#VALUE!</v>
      </c>
      <c r="G52" s="190"/>
      <c r="H52" s="399"/>
      <c r="I52" s="93"/>
      <c r="J52" s="93" t="s">
        <v>169</v>
      </c>
      <c r="K52" s="410">
        <v>0.03</v>
      </c>
      <c r="L52" s="6"/>
    </row>
    <row r="53" spans="1:12" ht="15" customHeight="1" thickBot="1">
      <c r="A53" s="14"/>
      <c r="B53" s="212" t="s">
        <v>77</v>
      </c>
      <c r="C53" s="269" t="e">
        <f>C51-C52</f>
        <v>#VALUE!</v>
      </c>
      <c r="D53" s="296"/>
      <c r="E53" s="196" t="e">
        <f>C53/C12</f>
        <v>#VALUE!</v>
      </c>
      <c r="F53" s="336" t="e">
        <f t="shared" si="0"/>
        <v>#VALUE!</v>
      </c>
      <c r="G53" s="88"/>
      <c r="H53" s="458"/>
      <c r="I53" s="459"/>
      <c r="J53" s="459"/>
      <c r="K53" s="460"/>
      <c r="L53" s="89"/>
    </row>
    <row r="54" spans="1:12" ht="15" customHeight="1" thickBot="1" thickTop="1">
      <c r="A54" s="14"/>
      <c r="B54" s="213"/>
      <c r="C54" s="4"/>
      <c r="D54" s="4"/>
      <c r="E54" s="4"/>
      <c r="F54" s="4"/>
      <c r="G54" s="191"/>
      <c r="H54" s="4"/>
      <c r="I54" s="4"/>
      <c r="J54" s="4"/>
      <c r="K54" s="108"/>
      <c r="L54" s="92"/>
    </row>
    <row r="55" spans="1:12" ht="15" customHeight="1" thickTop="1">
      <c r="A55" s="14"/>
      <c r="B55" s="214" t="s">
        <v>134</v>
      </c>
      <c r="C55" s="174"/>
      <c r="D55" s="174"/>
      <c r="E55" s="174"/>
      <c r="F55" s="174"/>
      <c r="G55" s="174"/>
      <c r="H55" s="174"/>
      <c r="I55" s="174"/>
      <c r="J55" s="174"/>
      <c r="K55" s="239"/>
      <c r="L55" s="109"/>
    </row>
    <row r="56" spans="1:12" ht="15" customHeight="1">
      <c r="A56" s="14"/>
      <c r="B56" s="215" t="s">
        <v>135</v>
      </c>
      <c r="C56" s="175"/>
      <c r="D56" s="175"/>
      <c r="E56" s="175"/>
      <c r="F56" s="175"/>
      <c r="G56" s="175"/>
      <c r="H56" s="175"/>
      <c r="I56" s="175"/>
      <c r="J56" s="175"/>
      <c r="K56" s="240"/>
      <c r="L56" s="109"/>
    </row>
    <row r="57" spans="1:12" ht="15" customHeight="1" thickBot="1">
      <c r="A57" s="14"/>
      <c r="B57" s="256" t="s">
        <v>136</v>
      </c>
      <c r="C57" s="257"/>
      <c r="D57" s="257"/>
      <c r="E57" s="257"/>
      <c r="F57" s="257"/>
      <c r="G57" s="257"/>
      <c r="H57" s="257"/>
      <c r="I57" s="257"/>
      <c r="J57" s="257"/>
      <c r="K57" s="258"/>
      <c r="L57" s="109"/>
    </row>
    <row r="58" spans="1:12" ht="16.5">
      <c r="A58" s="14"/>
      <c r="B58" s="247" t="str">
        <f>B2</f>
        <v>Broker Name</v>
      </c>
      <c r="C58" s="245"/>
      <c r="D58" s="245"/>
      <c r="E58" s="246" t="s">
        <v>78</v>
      </c>
      <c r="F58" s="247"/>
      <c r="G58" s="247"/>
      <c r="H58" s="246"/>
      <c r="I58" s="246">
        <f>C5</f>
        <v>0</v>
      </c>
      <c r="J58" s="252"/>
      <c r="K58" s="252"/>
      <c r="L58" s="92"/>
    </row>
    <row r="59" spans="1:30" ht="18" thickBot="1">
      <c r="A59" s="14"/>
      <c r="B59" s="254" t="str">
        <f>B3</f>
        <v>Bluestone &amp; Hockley Real Estate Services</v>
      </c>
      <c r="C59" s="253"/>
      <c r="D59" s="253"/>
      <c r="E59" s="253"/>
      <c r="F59" s="253"/>
      <c r="G59" s="253"/>
      <c r="H59" s="247" t="str">
        <f>H3</f>
        <v>Office Phone (503) 222-3800</v>
      </c>
      <c r="I59" s="245"/>
      <c r="J59" s="245"/>
      <c r="K59" s="255"/>
      <c r="L59" s="2"/>
      <c r="M59" s="443"/>
      <c r="N59" s="443"/>
      <c r="O59" s="443"/>
      <c r="P59" s="443"/>
      <c r="Q59" s="443"/>
      <c r="R59" s="443"/>
      <c r="S59" s="443"/>
      <c r="T59" s="443"/>
      <c r="U59" s="443"/>
      <c r="V59" s="443"/>
      <c r="W59" s="443"/>
      <c r="X59" s="443"/>
      <c r="Y59" s="443"/>
      <c r="Z59" s="443"/>
      <c r="AA59" s="443"/>
      <c r="AB59" s="443"/>
      <c r="AC59" s="443"/>
      <c r="AD59" s="443"/>
    </row>
    <row r="60" spans="1:30" ht="15" customHeight="1" thickBot="1" thickTop="1">
      <c r="A60" s="14"/>
      <c r="B60" s="100"/>
      <c r="C60" s="101"/>
      <c r="D60" s="101"/>
      <c r="E60" s="101"/>
      <c r="F60" s="102" t="s">
        <v>24</v>
      </c>
      <c r="G60" s="102"/>
      <c r="H60" s="101"/>
      <c r="I60" s="101"/>
      <c r="J60" s="101"/>
      <c r="K60" s="103"/>
      <c r="L60" s="6"/>
      <c r="M60" s="443"/>
      <c r="N60" s="443"/>
      <c r="O60" s="443"/>
      <c r="P60" s="443"/>
      <c r="Q60" s="443"/>
      <c r="R60" s="443"/>
      <c r="S60" s="443"/>
      <c r="T60" s="443"/>
      <c r="U60" s="443"/>
      <c r="V60" s="443"/>
      <c r="W60" s="443"/>
      <c r="X60" s="443"/>
      <c r="Y60" s="443"/>
      <c r="Z60" s="443"/>
      <c r="AA60" s="443"/>
      <c r="AB60" s="443"/>
      <c r="AC60" s="443"/>
      <c r="AD60" s="443"/>
    </row>
    <row r="61" spans="1:30" ht="15" customHeight="1" thickTop="1">
      <c r="A61" s="14"/>
      <c r="B61" s="104"/>
      <c r="C61" s="105" t="s">
        <v>79</v>
      </c>
      <c r="D61" s="375" t="s">
        <v>139</v>
      </c>
      <c r="E61" s="105" t="s">
        <v>80</v>
      </c>
      <c r="F61" s="105" t="s">
        <v>27</v>
      </c>
      <c r="G61" s="375" t="s">
        <v>142</v>
      </c>
      <c r="H61" s="105" t="s">
        <v>28</v>
      </c>
      <c r="I61" s="105" t="s">
        <v>29</v>
      </c>
      <c r="J61" s="105" t="s">
        <v>30</v>
      </c>
      <c r="K61" s="297"/>
      <c r="L61" s="6"/>
      <c r="M61" s="443"/>
      <c r="N61" s="316"/>
      <c r="O61" s="316"/>
      <c r="P61" s="316"/>
      <c r="Q61" s="316"/>
      <c r="R61" s="316"/>
      <c r="S61" s="316"/>
      <c r="T61" s="316"/>
      <c r="U61" s="316"/>
      <c r="V61" s="316"/>
      <c r="W61" s="443"/>
      <c r="X61" s="443"/>
      <c r="Y61" s="443"/>
      <c r="Z61" s="443"/>
      <c r="AA61" s="443"/>
      <c r="AB61" s="443"/>
      <c r="AC61" s="443"/>
      <c r="AD61" s="443"/>
    </row>
    <row r="62" spans="1:30" ht="15" customHeight="1">
      <c r="A62" s="14"/>
      <c r="B62" s="107"/>
      <c r="C62" s="26" t="s">
        <v>81</v>
      </c>
      <c r="D62" s="373" t="s">
        <v>140</v>
      </c>
      <c r="E62" s="26" t="s">
        <v>26</v>
      </c>
      <c r="F62" s="26" t="s">
        <v>34</v>
      </c>
      <c r="G62" s="373" t="s">
        <v>143</v>
      </c>
      <c r="H62" s="26" t="s">
        <v>35</v>
      </c>
      <c r="I62" s="26" t="s">
        <v>36</v>
      </c>
      <c r="J62" s="26" t="s">
        <v>37</v>
      </c>
      <c r="K62" s="298"/>
      <c r="L62" s="109"/>
      <c r="M62" s="444"/>
      <c r="N62" s="445"/>
      <c r="O62" s="445"/>
      <c r="P62" s="445"/>
      <c r="Q62" s="445"/>
      <c r="R62" s="445"/>
      <c r="S62" s="445"/>
      <c r="T62" s="445"/>
      <c r="U62" s="445"/>
      <c r="V62" s="445"/>
      <c r="W62" s="445"/>
      <c r="X62" s="445"/>
      <c r="Y62" s="445"/>
      <c r="Z62" s="445"/>
      <c r="AA62" s="445"/>
      <c r="AB62" s="445"/>
      <c r="AC62" s="445"/>
      <c r="AD62" s="443"/>
    </row>
    <row r="63" spans="1:30" ht="15" customHeight="1">
      <c r="A63" s="14"/>
      <c r="B63" s="107" t="s">
        <v>82</v>
      </c>
      <c r="C63" s="86">
        <f aca="true" t="shared" si="2" ref="C63:J65">C15</f>
        <v>0</v>
      </c>
      <c r="D63" s="374" t="str">
        <f>IF($C63&gt;0,+D15," ")</f>
        <v> </v>
      </c>
      <c r="E63" s="86">
        <f t="shared" si="2"/>
        <v>25</v>
      </c>
      <c r="F63" s="86">
        <f t="shared" si="2"/>
        <v>12</v>
      </c>
      <c r="G63" s="376" t="str">
        <f>IF($C63&gt;0,+G15," ")</f>
        <v> </v>
      </c>
      <c r="H63" s="110">
        <f t="shared" si="2"/>
        <v>0.065</v>
      </c>
      <c r="I63" s="86" t="str">
        <f t="shared" si="2"/>
        <v> </v>
      </c>
      <c r="J63" s="86" t="e">
        <f t="shared" si="2"/>
        <v>#VALUE!</v>
      </c>
      <c r="K63" s="299"/>
      <c r="L63" s="109"/>
      <c r="M63" s="444"/>
      <c r="N63" s="445"/>
      <c r="O63" s="445"/>
      <c r="P63" s="445"/>
      <c r="Q63" s="445"/>
      <c r="R63" s="445"/>
      <c r="S63" s="445"/>
      <c r="T63" s="445"/>
      <c r="U63" s="445"/>
      <c r="V63" s="445"/>
      <c r="W63" s="445"/>
      <c r="X63" s="445"/>
      <c r="Y63" s="445"/>
      <c r="Z63" s="445"/>
      <c r="AA63" s="445"/>
      <c r="AB63" s="445"/>
      <c r="AC63" s="445"/>
      <c r="AD63" s="443"/>
    </row>
    <row r="64" spans="1:30" ht="15" customHeight="1">
      <c r="A64" s="14"/>
      <c r="B64" s="107" t="s">
        <v>83</v>
      </c>
      <c r="C64" s="86">
        <f t="shared" si="2"/>
        <v>0</v>
      </c>
      <c r="D64" s="374" t="str">
        <f>IF($C64&gt;0,+D16," ")</f>
        <v> </v>
      </c>
      <c r="E64" s="86">
        <f t="shared" si="2"/>
        <v>0</v>
      </c>
      <c r="F64" s="86">
        <f t="shared" si="2"/>
        <v>0</v>
      </c>
      <c r="G64" s="376" t="str">
        <f>IF($C64&gt;0,+G16," ")</f>
        <v> </v>
      </c>
      <c r="H64" s="110">
        <f t="shared" si="2"/>
        <v>0</v>
      </c>
      <c r="I64" s="86">
        <f t="shared" si="2"/>
        <v>0</v>
      </c>
      <c r="J64" s="86">
        <f t="shared" si="2"/>
        <v>0</v>
      </c>
      <c r="K64" s="299"/>
      <c r="L64" s="109"/>
      <c r="M64" s="444"/>
      <c r="N64" s="445"/>
      <c r="O64" s="445"/>
      <c r="P64" s="445"/>
      <c r="Q64" s="445"/>
      <c r="R64" s="445"/>
      <c r="S64" s="445"/>
      <c r="T64" s="445"/>
      <c r="U64" s="445"/>
      <c r="V64" s="445"/>
      <c r="W64" s="445"/>
      <c r="X64" s="445"/>
      <c r="Y64" s="445"/>
      <c r="Z64" s="445"/>
      <c r="AA64" s="445"/>
      <c r="AB64" s="445"/>
      <c r="AC64" s="445"/>
      <c r="AD64" s="443"/>
    </row>
    <row r="65" spans="1:30" ht="15" customHeight="1" thickBot="1">
      <c r="A65" s="14"/>
      <c r="B65" s="107" t="str">
        <f>+B17</f>
        <v>Replacement 1st Mortgage</v>
      </c>
      <c r="C65" s="86">
        <f t="shared" si="2"/>
        <v>0</v>
      </c>
      <c r="D65" s="374" t="str">
        <f>IF($C65&gt;0,+D17," ")</f>
        <v> </v>
      </c>
      <c r="E65" s="86">
        <v>30</v>
      </c>
      <c r="F65" s="86">
        <f t="shared" si="2"/>
        <v>12</v>
      </c>
      <c r="G65" s="376" t="str">
        <f>IF($C65&gt;0,+G17," ")</f>
        <v> </v>
      </c>
      <c r="H65" s="110">
        <f t="shared" si="2"/>
        <v>0.065</v>
      </c>
      <c r="I65" s="86" t="str">
        <f t="shared" si="2"/>
        <v> </v>
      </c>
      <c r="J65" s="86" t="str">
        <f t="shared" si="2"/>
        <v> </v>
      </c>
      <c r="K65" s="300"/>
      <c r="L65" s="89"/>
      <c r="M65" s="444"/>
      <c r="N65" s="444"/>
      <c r="O65" s="444"/>
      <c r="P65" s="444"/>
      <c r="Q65" s="444"/>
      <c r="R65" s="444"/>
      <c r="S65" s="444"/>
      <c r="T65" s="444"/>
      <c r="U65" s="444"/>
      <c r="V65" s="444"/>
      <c r="W65" s="444"/>
      <c r="X65" s="444"/>
      <c r="Y65" s="444"/>
      <c r="Z65" s="444"/>
      <c r="AA65" s="444"/>
      <c r="AB65" s="444"/>
      <c r="AC65" s="444"/>
      <c r="AD65" s="443"/>
    </row>
    <row r="66" spans="1:30" ht="15" customHeight="1" hidden="1" thickBot="1">
      <c r="A66" s="14"/>
      <c r="B66" s="439" t="s">
        <v>182</v>
      </c>
      <c r="C66" s="440">
        <v>1</v>
      </c>
      <c r="D66" s="440"/>
      <c r="E66" s="440">
        <v>2</v>
      </c>
      <c r="F66" s="440">
        <v>3</v>
      </c>
      <c r="G66" s="440"/>
      <c r="H66" s="440">
        <v>4</v>
      </c>
      <c r="I66" s="440">
        <v>5</v>
      </c>
      <c r="J66" s="441">
        <v>6</v>
      </c>
      <c r="K66" s="442">
        <v>7</v>
      </c>
      <c r="L66" s="109"/>
      <c r="M66" s="444"/>
      <c r="N66" s="444"/>
      <c r="O66" s="444"/>
      <c r="P66" s="444"/>
      <c r="Q66" s="444"/>
      <c r="R66" s="444"/>
      <c r="S66" s="444"/>
      <c r="T66" s="444"/>
      <c r="U66" s="444"/>
      <c r="V66" s="444"/>
      <c r="W66" s="446"/>
      <c r="X66" s="446"/>
      <c r="Y66" s="446"/>
      <c r="Z66" s="446"/>
      <c r="AA66" s="446"/>
      <c r="AB66" s="446"/>
      <c r="AC66" s="446"/>
      <c r="AD66" s="443"/>
    </row>
    <row r="67" spans="1:30" ht="15" customHeight="1" thickBot="1">
      <c r="A67" s="14"/>
      <c r="B67" s="449"/>
      <c r="C67" s="119" t="s">
        <v>88</v>
      </c>
      <c r="D67" s="119"/>
      <c r="E67" s="119" t="s">
        <v>89</v>
      </c>
      <c r="F67" s="119" t="s">
        <v>90</v>
      </c>
      <c r="G67" s="119"/>
      <c r="H67" s="119" t="s">
        <v>91</v>
      </c>
      <c r="I67" s="119" t="s">
        <v>92</v>
      </c>
      <c r="J67" s="119" t="s">
        <v>93</v>
      </c>
      <c r="K67" s="120" t="s">
        <v>94</v>
      </c>
      <c r="L67" s="109"/>
      <c r="M67" s="444"/>
      <c r="N67" s="444"/>
      <c r="O67" s="444"/>
      <c r="P67" s="444"/>
      <c r="Q67" s="444"/>
      <c r="R67" s="444"/>
      <c r="S67" s="444"/>
      <c r="T67" s="444"/>
      <c r="U67" s="444"/>
      <c r="V67" s="444"/>
      <c r="W67" s="446"/>
      <c r="X67" s="446"/>
      <c r="Y67" s="446"/>
      <c r="Z67" s="446"/>
      <c r="AA67" s="446"/>
      <c r="AB67" s="446"/>
      <c r="AC67" s="446"/>
      <c r="AD67" s="443"/>
    </row>
    <row r="68" spans="1:30" ht="15" customHeight="1">
      <c r="A68" s="14"/>
      <c r="B68" s="107" t="s">
        <v>183</v>
      </c>
      <c r="C68" s="32" t="str">
        <f>IF($D63="n","N",IF($G63&gt;=1,"Y","N"))</f>
        <v>Y</v>
      </c>
      <c r="D68" s="86"/>
      <c r="E68" s="32" t="str">
        <f>IF($D63="n","N",IF($G63&gt;=2,"Y","N"))</f>
        <v>Y</v>
      </c>
      <c r="F68" s="32" t="str">
        <f>IF($D63="n","N",IF($G63&gt;=3,"Y","N"))</f>
        <v>Y</v>
      </c>
      <c r="G68" s="112"/>
      <c r="H68" s="32" t="str">
        <f>IF($D63="n","N",IF($G63&gt;=4,"Y","N"))</f>
        <v>Y</v>
      </c>
      <c r="I68" s="32" t="str">
        <f>IF($D63="n","N",IF($G63&gt;=5,"Y","N"))</f>
        <v>Y</v>
      </c>
      <c r="J68" s="32" t="str">
        <f>IF($D63="n","N",IF($G63&gt;=6,"Y","N"))</f>
        <v>Y</v>
      </c>
      <c r="K68" s="32" t="str">
        <f>IF($D63="n","N",IF($G63&gt;=7,"Y","N"))</f>
        <v>Y</v>
      </c>
      <c r="L68" s="109"/>
      <c r="M68" s="444"/>
      <c r="N68" s="444"/>
      <c r="O68" s="444"/>
      <c r="P68" s="444"/>
      <c r="Q68" s="444"/>
      <c r="R68" s="444"/>
      <c r="S68" s="444"/>
      <c r="T68" s="444"/>
      <c r="U68" s="444"/>
      <c r="V68" s="444"/>
      <c r="W68" s="446"/>
      <c r="X68" s="446"/>
      <c r="Y68" s="446"/>
      <c r="Z68" s="446"/>
      <c r="AA68" s="446"/>
      <c r="AB68" s="446"/>
      <c r="AC68" s="446"/>
      <c r="AD68" s="443"/>
    </row>
    <row r="69" spans="1:30" ht="15" customHeight="1">
      <c r="A69" s="14"/>
      <c r="B69" s="107" t="s">
        <v>84</v>
      </c>
      <c r="C69" s="86">
        <f>IF(C68="y",$C$63,(-FV($H$63/12,12,-$I$63,$C$63)))</f>
        <v>0</v>
      </c>
      <c r="D69" s="86"/>
      <c r="E69" s="86">
        <f>IF($C$68="y",IF(E68="y",$C$63,(-FV($H$65/12,(E66-$G$63)*12,-$I$65,$C$65))),-FV($H$63/12,24,-$I63,$C$63))</f>
        <v>0</v>
      </c>
      <c r="F69" s="86">
        <f>IF($C$68="y",IF(F68="y",$C$63,(-FV($H$65/12,(F66-$G$63)*12,-$I$65,$C$65))),-FV($H$63/12,36,-$I63,$C$63))</f>
        <v>0</v>
      </c>
      <c r="G69" s="86"/>
      <c r="H69" s="86">
        <f>IF($C$68="y",IF(H68="y",$C$63,(-FV($H$65/12,(H66-$G$63)*12,-$I$65,$C$65))),-FV($H$63/12,48,-$I63,$C$63))</f>
        <v>0</v>
      </c>
      <c r="I69" s="86">
        <f>IF($C$68="y",IF(I68="y",$C$63,(-FV($H$65/12,(I66-$G$63)*12,-$I$65,$C$65))),-FV($H$63/12,60,-$I63,$C$63))</f>
        <v>0</v>
      </c>
      <c r="J69" s="86">
        <f>IF($C$68="y",IF(J68="y",$C$63,(-FV($H$65/12,(J66-$G$63)*12,-$I$65,$C$65))),-FV($H$63/12,72,-$I63,$C$63))</f>
        <v>0</v>
      </c>
      <c r="K69" s="86">
        <f>IF($C$68="y",IF(K68="y",$C$63,(-FV($H$65/12,(K66-$G$63)*12,-$I$65,$C$65))),-FV($H$63/12,84,-$I63,$C$63))</f>
        <v>0</v>
      </c>
      <c r="L69" s="109"/>
      <c r="M69" s="444"/>
      <c r="N69" s="445"/>
      <c r="O69" s="445"/>
      <c r="P69" s="445"/>
      <c r="Q69" s="445"/>
      <c r="R69" s="445"/>
      <c r="S69" s="445"/>
      <c r="T69" s="445"/>
      <c r="U69" s="445"/>
      <c r="V69" s="445"/>
      <c r="W69" s="445"/>
      <c r="X69" s="445"/>
      <c r="Y69" s="445"/>
      <c r="Z69" s="445"/>
      <c r="AA69" s="445"/>
      <c r="AB69" s="445"/>
      <c r="AC69" s="445"/>
      <c r="AD69" s="443"/>
    </row>
    <row r="70" spans="1:30" ht="15" customHeight="1">
      <c r="A70" s="14"/>
      <c r="B70" s="107" t="s">
        <v>28</v>
      </c>
      <c r="C70" s="86" t="e">
        <f>IF(C66&gt;$G63,$J65-C65+C69,$J63-C63+C69)</f>
        <v>#VALUE!</v>
      </c>
      <c r="D70" s="86"/>
      <c r="E70" s="86" t="e">
        <f>IF(E66&gt;$G63,$J65-C69+E69,$J63-C69+E69)</f>
        <v>#VALUE!</v>
      </c>
      <c r="F70" s="86" t="e">
        <f>IF(F66&gt;$G63,$J65-E69+F69,$J63-E69+F69)</f>
        <v>#VALUE!</v>
      </c>
      <c r="G70" s="86"/>
      <c r="H70" s="86" t="e">
        <f>IF(H66&gt;$G63,$J65-F69+H69,$J63-F69+H69)</f>
        <v>#VALUE!</v>
      </c>
      <c r="I70" s="86" t="e">
        <f>IF(I66&gt;$G63,$J65-H69+I69,$J63-H69+I69)</f>
        <v>#VALUE!</v>
      </c>
      <c r="J70" s="86" t="e">
        <f>IF(J66&gt;$G63,$J65-I69+J69,$J63-I69+J69)</f>
        <v>#VALUE!</v>
      </c>
      <c r="K70" s="86" t="e">
        <f>IF(K66&gt;$G63,$J65-J69+K69,$J63-J69+K69)</f>
        <v>#VALUE!</v>
      </c>
      <c r="L70" s="109"/>
      <c r="M70" s="444"/>
      <c r="N70" s="445"/>
      <c r="O70" s="445"/>
      <c r="P70" s="445"/>
      <c r="Q70" s="445"/>
      <c r="R70" s="445"/>
      <c r="S70" s="445"/>
      <c r="T70" s="445"/>
      <c r="U70" s="445"/>
      <c r="V70" s="445"/>
      <c r="W70" s="445"/>
      <c r="X70" s="445"/>
      <c r="Y70" s="445"/>
      <c r="Z70" s="445"/>
      <c r="AA70" s="445"/>
      <c r="AB70" s="445"/>
      <c r="AC70" s="445"/>
      <c r="AD70" s="443"/>
    </row>
    <row r="71" spans="1:30" ht="15" customHeight="1">
      <c r="A71" s="14"/>
      <c r="B71" s="107" t="s">
        <v>85</v>
      </c>
      <c r="C71" s="86" t="str">
        <f>IF(W80&gt;0,ROUND(+W80+N96,0)," ")</f>
        <v> </v>
      </c>
      <c r="D71" s="86"/>
      <c r="E71" s="86" t="str">
        <f>IF(X80&gt;0,ROUND(+X80+P96,0)," ")</f>
        <v> </v>
      </c>
      <c r="F71" s="86" t="str">
        <f>IF(Y80&gt;0,ROUND(+Y80+Q96,0)," ")</f>
        <v> </v>
      </c>
      <c r="G71" s="86"/>
      <c r="H71" s="86" t="str">
        <f>IF(Z80&gt;0,ROUND(+Z80+S96,0)," ")</f>
        <v> </v>
      </c>
      <c r="I71" s="86" t="str">
        <f>IF(AA80&gt;0,ROUND(+AA80+T96,0)," ")</f>
        <v> </v>
      </c>
      <c r="J71" s="86" t="str">
        <f>IF(AB80&gt;0,ROUND(+AB80+U96,0)," ")</f>
        <v> </v>
      </c>
      <c r="K71" s="113" t="str">
        <f>IF(AC80&gt;0,ROUND(+AC80+V96,0)," ")</f>
        <v> </v>
      </c>
      <c r="L71" s="109"/>
      <c r="M71" s="444"/>
      <c r="N71" s="445"/>
      <c r="O71" s="445"/>
      <c r="P71" s="445"/>
      <c r="Q71" s="445"/>
      <c r="R71" s="445"/>
      <c r="S71" s="445"/>
      <c r="T71" s="445"/>
      <c r="U71" s="445"/>
      <c r="V71" s="445"/>
      <c r="W71" s="445"/>
      <c r="X71" s="445"/>
      <c r="Y71" s="445"/>
      <c r="Z71" s="445"/>
      <c r="AA71" s="445"/>
      <c r="AB71" s="445"/>
      <c r="AC71" s="445"/>
      <c r="AD71" s="443"/>
    </row>
    <row r="72" spans="1:30" ht="15" customHeight="1">
      <c r="A72" s="14"/>
      <c r="B72" s="107" t="s">
        <v>28</v>
      </c>
      <c r="C72" s="86">
        <v>0</v>
      </c>
      <c r="D72" s="86"/>
      <c r="E72" s="86">
        <v>0</v>
      </c>
      <c r="F72" s="86">
        <v>0</v>
      </c>
      <c r="G72" s="86"/>
      <c r="H72" s="86">
        <v>0</v>
      </c>
      <c r="I72" s="86">
        <v>0</v>
      </c>
      <c r="J72" s="86">
        <v>0</v>
      </c>
      <c r="K72" s="113">
        <v>0</v>
      </c>
      <c r="L72" s="109"/>
      <c r="M72" s="444"/>
      <c r="N72" s="445"/>
      <c r="O72" s="445"/>
      <c r="P72" s="445"/>
      <c r="Q72" s="445"/>
      <c r="R72" s="445"/>
      <c r="S72" s="445"/>
      <c r="T72" s="445"/>
      <c r="U72" s="445"/>
      <c r="V72" s="445"/>
      <c r="W72" s="445"/>
      <c r="X72" s="445"/>
      <c r="Y72" s="445"/>
      <c r="Z72" s="445"/>
      <c r="AA72" s="445"/>
      <c r="AB72" s="445"/>
      <c r="AC72" s="445"/>
      <c r="AD72" s="443"/>
    </row>
    <row r="73" spans="1:30" ht="15" customHeight="1" thickBot="1">
      <c r="A73" s="14"/>
      <c r="B73" s="107" t="s">
        <v>86</v>
      </c>
      <c r="C73" s="86">
        <f>+C63-C69</f>
        <v>0</v>
      </c>
      <c r="D73" s="86"/>
      <c r="E73" s="86">
        <f>+C69-E69</f>
        <v>0</v>
      </c>
      <c r="F73" s="86">
        <f>+E69-F69</f>
        <v>0</v>
      </c>
      <c r="G73" s="86"/>
      <c r="H73" s="86">
        <f>+F69-H69</f>
        <v>0</v>
      </c>
      <c r="I73" s="86">
        <f>+H69-I69</f>
        <v>0</v>
      </c>
      <c r="J73" s="86">
        <f>+I69-J69</f>
        <v>0</v>
      </c>
      <c r="K73" s="86">
        <f>+J69-K69</f>
        <v>0</v>
      </c>
      <c r="L73" s="109"/>
      <c r="M73" s="444"/>
      <c r="N73" s="445"/>
      <c r="O73" s="445"/>
      <c r="P73" s="445"/>
      <c r="Q73" s="445"/>
      <c r="R73" s="445"/>
      <c r="S73" s="445"/>
      <c r="T73" s="445"/>
      <c r="U73" s="445"/>
      <c r="V73" s="445"/>
      <c r="W73" s="445"/>
      <c r="X73" s="445"/>
      <c r="Y73" s="445"/>
      <c r="Z73" s="445"/>
      <c r="AA73" s="445"/>
      <c r="AB73" s="445"/>
      <c r="AC73" s="445"/>
      <c r="AD73" s="443"/>
    </row>
    <row r="74" spans="1:30" ht="15" customHeight="1" thickTop="1">
      <c r="A74" s="14"/>
      <c r="B74" s="114"/>
      <c r="C74" s="115"/>
      <c r="D74" s="115"/>
      <c r="E74" s="115"/>
      <c r="F74" s="116" t="s">
        <v>87</v>
      </c>
      <c r="G74" s="116"/>
      <c r="H74" s="115"/>
      <c r="I74" s="115"/>
      <c r="J74" s="115"/>
      <c r="K74" s="117"/>
      <c r="L74" s="109"/>
      <c r="M74" s="444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3"/>
    </row>
    <row r="75" spans="1:30" ht="15" customHeight="1">
      <c r="A75" s="14"/>
      <c r="B75" s="127"/>
      <c r="C75" s="134" t="s">
        <v>62</v>
      </c>
      <c r="D75" s="134"/>
      <c r="E75" s="408">
        <f>+K39</f>
        <v>0</v>
      </c>
      <c r="F75" s="407">
        <f>+E75</f>
        <v>0</v>
      </c>
      <c r="G75" s="406"/>
      <c r="H75" s="408">
        <f>+F75</f>
        <v>0</v>
      </c>
      <c r="I75" s="408">
        <f aca="true" t="shared" si="3" ref="I75:K76">+H75</f>
        <v>0</v>
      </c>
      <c r="J75" s="408">
        <f t="shared" si="3"/>
        <v>0</v>
      </c>
      <c r="K75" s="409">
        <f t="shared" si="3"/>
        <v>0</v>
      </c>
      <c r="L75" s="109"/>
      <c r="M75" s="444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3"/>
    </row>
    <row r="76" spans="1:30" ht="15" customHeight="1" thickBot="1">
      <c r="A76" s="14"/>
      <c r="B76" s="127"/>
      <c r="C76" s="134" t="s">
        <v>64</v>
      </c>
      <c r="D76" s="134"/>
      <c r="E76" s="408">
        <f>+K40</f>
        <v>0</v>
      </c>
      <c r="F76" s="407">
        <f>+E76</f>
        <v>0</v>
      </c>
      <c r="G76" s="406"/>
      <c r="H76" s="408">
        <f>+F76</f>
        <v>0</v>
      </c>
      <c r="I76" s="408">
        <f t="shared" si="3"/>
        <v>0</v>
      </c>
      <c r="J76" s="408">
        <f t="shared" si="3"/>
        <v>0</v>
      </c>
      <c r="K76" s="409">
        <f t="shared" si="3"/>
        <v>0</v>
      </c>
      <c r="L76" s="109"/>
      <c r="M76" s="444"/>
      <c r="N76" s="445"/>
      <c r="O76" s="445"/>
      <c r="P76" s="445"/>
      <c r="Q76" s="445"/>
      <c r="R76" s="445"/>
      <c r="S76" s="445"/>
      <c r="T76" s="445"/>
      <c r="U76" s="445"/>
      <c r="V76" s="445"/>
      <c r="W76" s="445"/>
      <c r="X76" s="445"/>
      <c r="Y76" s="445"/>
      <c r="Z76" s="445"/>
      <c r="AA76" s="445"/>
      <c r="AB76" s="445"/>
      <c r="AC76" s="445"/>
      <c r="AD76" s="443"/>
    </row>
    <row r="77" spans="1:30" ht="15" customHeight="1" thickBot="1">
      <c r="A77" s="14"/>
      <c r="B77" s="118"/>
      <c r="C77" s="119" t="s">
        <v>88</v>
      </c>
      <c r="D77" s="119"/>
      <c r="E77" s="119" t="s">
        <v>89</v>
      </c>
      <c r="F77" s="119" t="s">
        <v>90</v>
      </c>
      <c r="G77" s="119"/>
      <c r="H77" s="119" t="s">
        <v>91</v>
      </c>
      <c r="I77" s="119" t="s">
        <v>92</v>
      </c>
      <c r="J77" s="119" t="s">
        <v>93</v>
      </c>
      <c r="K77" s="120" t="s">
        <v>94</v>
      </c>
      <c r="L77" s="109"/>
      <c r="M77" s="444"/>
      <c r="N77" s="445"/>
      <c r="O77" s="445"/>
      <c r="P77" s="445"/>
      <c r="Q77" s="445"/>
      <c r="R77" s="445"/>
      <c r="S77" s="445"/>
      <c r="T77" s="445"/>
      <c r="U77" s="445"/>
      <c r="V77" s="445"/>
      <c r="W77" s="445"/>
      <c r="X77" s="445"/>
      <c r="Y77" s="445"/>
      <c r="Z77" s="445"/>
      <c r="AA77" s="445"/>
      <c r="AB77" s="445"/>
      <c r="AC77" s="445"/>
      <c r="AD77" s="443"/>
    </row>
    <row r="78" spans="1:30" ht="15" customHeight="1">
      <c r="A78" s="14"/>
      <c r="B78" s="121" t="s">
        <v>55</v>
      </c>
      <c r="C78" s="122" t="str">
        <f>IF(C15=0," ",C29)</f>
        <v> </v>
      </c>
      <c r="D78" s="122"/>
      <c r="E78" s="122" t="e">
        <f>C78*(1+E75)</f>
        <v>#VALUE!</v>
      </c>
      <c r="F78" s="122" t="e">
        <f>E78*(1+F75)</f>
        <v>#VALUE!</v>
      </c>
      <c r="G78" s="122"/>
      <c r="H78" s="122" t="e">
        <f>F78*(1+H75)</f>
        <v>#VALUE!</v>
      </c>
      <c r="I78" s="122" t="e">
        <f aca="true" t="shared" si="4" ref="I78:K79">H78*(1+I75)</f>
        <v>#VALUE!</v>
      </c>
      <c r="J78" s="122" t="e">
        <f t="shared" si="4"/>
        <v>#VALUE!</v>
      </c>
      <c r="K78" s="123" t="e">
        <f t="shared" si="4"/>
        <v>#VALUE!</v>
      </c>
      <c r="L78" s="89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3"/>
    </row>
    <row r="79" spans="1:30" ht="15" customHeight="1">
      <c r="A79" s="14"/>
      <c r="B79" s="107" t="s">
        <v>95</v>
      </c>
      <c r="C79" s="86" t="str">
        <f>IF(C15=0," ",C50)</f>
        <v> </v>
      </c>
      <c r="D79" s="86"/>
      <c r="E79" s="86" t="e">
        <f>C79*(1+E76)</f>
        <v>#VALUE!</v>
      </c>
      <c r="F79" s="86" t="e">
        <f>E79*(1+F76)</f>
        <v>#VALUE!</v>
      </c>
      <c r="G79" s="86"/>
      <c r="H79" s="86" t="e">
        <f>F79*(1+H76)</f>
        <v>#VALUE!</v>
      </c>
      <c r="I79" s="86" t="e">
        <f t="shared" si="4"/>
        <v>#VALUE!</v>
      </c>
      <c r="J79" s="86" t="e">
        <f t="shared" si="4"/>
        <v>#VALUE!</v>
      </c>
      <c r="K79" s="113" t="e">
        <f t="shared" si="4"/>
        <v>#VALUE!</v>
      </c>
      <c r="L79" s="109"/>
      <c r="M79" s="444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3"/>
    </row>
    <row r="80" spans="1:30" ht="15" customHeight="1">
      <c r="A80" s="14"/>
      <c r="B80" s="107" t="s">
        <v>75</v>
      </c>
      <c r="C80" s="86" t="e">
        <f aca="true" t="shared" si="5" ref="C80:K80">C78-C79</f>
        <v>#VALUE!</v>
      </c>
      <c r="D80" s="86"/>
      <c r="E80" s="86" t="e">
        <f t="shared" si="5"/>
        <v>#VALUE!</v>
      </c>
      <c r="F80" s="86" t="e">
        <f t="shared" si="5"/>
        <v>#VALUE!</v>
      </c>
      <c r="G80" s="86"/>
      <c r="H80" s="86" t="e">
        <f t="shared" si="5"/>
        <v>#VALUE!</v>
      </c>
      <c r="I80" s="86" t="e">
        <f t="shared" si="5"/>
        <v>#VALUE!</v>
      </c>
      <c r="J80" s="86" t="e">
        <f t="shared" si="5"/>
        <v>#VALUE!</v>
      </c>
      <c r="K80" s="113" t="e">
        <f t="shared" si="5"/>
        <v>#VALUE!</v>
      </c>
      <c r="L80" s="109"/>
      <c r="M80" s="444"/>
      <c r="N80" s="445"/>
      <c r="O80" s="445"/>
      <c r="P80" s="445"/>
      <c r="Q80" s="445"/>
      <c r="R80" s="445"/>
      <c r="S80" s="445"/>
      <c r="T80" s="445"/>
      <c r="U80" s="445"/>
      <c r="V80" s="445"/>
      <c r="W80" s="445"/>
      <c r="X80" s="445"/>
      <c r="Y80" s="445"/>
      <c r="Z80" s="445"/>
      <c r="AA80" s="445"/>
      <c r="AB80" s="445"/>
      <c r="AC80" s="445"/>
      <c r="AD80" s="443"/>
    </row>
    <row r="81" spans="1:30" ht="15" customHeight="1">
      <c r="A81" s="14"/>
      <c r="B81" s="107" t="s">
        <v>96</v>
      </c>
      <c r="C81" s="86" t="e">
        <f aca="true" t="shared" si="6" ref="C81:K81">IF(C70+C72&gt;0,C70+C72," ")</f>
        <v>#VALUE!</v>
      </c>
      <c r="D81" s="86"/>
      <c r="E81" s="86" t="e">
        <f t="shared" si="6"/>
        <v>#VALUE!</v>
      </c>
      <c r="F81" s="86" t="e">
        <f t="shared" si="6"/>
        <v>#VALUE!</v>
      </c>
      <c r="G81" s="86"/>
      <c r="H81" s="86" t="e">
        <f t="shared" si="6"/>
        <v>#VALUE!</v>
      </c>
      <c r="I81" s="86" t="e">
        <f t="shared" si="6"/>
        <v>#VALUE!</v>
      </c>
      <c r="J81" s="86" t="e">
        <f t="shared" si="6"/>
        <v>#VALUE!</v>
      </c>
      <c r="K81" s="113" t="e">
        <f t="shared" si="6"/>
        <v>#VALUE!</v>
      </c>
      <c r="L81" s="6"/>
      <c r="M81" s="444"/>
      <c r="N81" s="444"/>
      <c r="O81" s="444"/>
      <c r="P81" s="444"/>
      <c r="Q81" s="444"/>
      <c r="R81" s="444"/>
      <c r="S81" s="444"/>
      <c r="T81" s="444"/>
      <c r="U81" s="444"/>
      <c r="V81" s="444"/>
      <c r="W81" s="444"/>
      <c r="X81" s="444"/>
      <c r="Y81" s="444"/>
      <c r="Z81" s="444"/>
      <c r="AA81" s="444"/>
      <c r="AB81" s="444"/>
      <c r="AC81" s="444"/>
      <c r="AD81" s="443"/>
    </row>
    <row r="82" spans="1:30" ht="15" customHeight="1">
      <c r="A82" s="14"/>
      <c r="B82" s="107" t="s">
        <v>97</v>
      </c>
      <c r="C82" s="86">
        <f>F9/K48</f>
        <v>0</v>
      </c>
      <c r="D82" s="86"/>
      <c r="E82" s="86">
        <f>C82</f>
        <v>0</v>
      </c>
      <c r="F82" s="86">
        <f aca="true" t="shared" si="7" ref="F82:K82">E82</f>
        <v>0</v>
      </c>
      <c r="G82" s="86"/>
      <c r="H82" s="86">
        <f>F82</f>
        <v>0</v>
      </c>
      <c r="I82" s="86">
        <f t="shared" si="7"/>
        <v>0</v>
      </c>
      <c r="J82" s="86">
        <f t="shared" si="7"/>
        <v>0</v>
      </c>
      <c r="K82" s="113">
        <f t="shared" si="7"/>
        <v>0</v>
      </c>
      <c r="L82" s="109"/>
      <c r="M82" s="444"/>
      <c r="N82" s="445"/>
      <c r="O82" s="445"/>
      <c r="P82" s="445"/>
      <c r="Q82" s="445"/>
      <c r="R82" s="445"/>
      <c r="S82" s="445"/>
      <c r="T82" s="445"/>
      <c r="U82" s="445"/>
      <c r="V82" s="445"/>
      <c r="W82" s="445"/>
      <c r="X82" s="444"/>
      <c r="Y82" s="444"/>
      <c r="Z82" s="444"/>
      <c r="AA82" s="444"/>
      <c r="AB82" s="444"/>
      <c r="AC82" s="444"/>
      <c r="AD82" s="443"/>
    </row>
    <row r="83" spans="1:30" ht="15" customHeight="1" thickBot="1">
      <c r="A83" s="14"/>
      <c r="B83" s="124" t="s">
        <v>87</v>
      </c>
      <c r="C83" s="125" t="e">
        <f aca="true" t="shared" si="8" ref="C83:K83">C80-SUM(C81:C82)</f>
        <v>#VALUE!</v>
      </c>
      <c r="D83" s="125"/>
      <c r="E83" s="125" t="e">
        <f t="shared" si="8"/>
        <v>#VALUE!</v>
      </c>
      <c r="F83" s="125" t="e">
        <f t="shared" si="8"/>
        <v>#VALUE!</v>
      </c>
      <c r="G83" s="125"/>
      <c r="H83" s="125" t="e">
        <f t="shared" si="8"/>
        <v>#VALUE!</v>
      </c>
      <c r="I83" s="125" t="e">
        <f t="shared" si="8"/>
        <v>#VALUE!</v>
      </c>
      <c r="J83" s="125" t="e">
        <f t="shared" si="8"/>
        <v>#VALUE!</v>
      </c>
      <c r="K83" s="126" t="e">
        <f t="shared" si="8"/>
        <v>#VALUE!</v>
      </c>
      <c r="L83" s="109"/>
      <c r="M83" s="444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4"/>
      <c r="Y83" s="444"/>
      <c r="Z83" s="444"/>
      <c r="AA83" s="444"/>
      <c r="AB83" s="444"/>
      <c r="AC83" s="444"/>
      <c r="AD83" s="443"/>
    </row>
    <row r="84" spans="1:30" ht="15" customHeight="1" thickBot="1">
      <c r="A84" s="14"/>
      <c r="B84" s="127"/>
      <c r="C84" s="128"/>
      <c r="D84" s="128"/>
      <c r="E84" s="128"/>
      <c r="F84" s="129" t="s">
        <v>98</v>
      </c>
      <c r="G84" s="129"/>
      <c r="H84" s="128"/>
      <c r="I84" s="128"/>
      <c r="J84" s="128"/>
      <c r="K84" s="130"/>
      <c r="L84" s="109"/>
      <c r="M84" s="444"/>
      <c r="N84" s="445"/>
      <c r="O84" s="445"/>
      <c r="P84" s="445"/>
      <c r="Q84" s="445"/>
      <c r="R84" s="445"/>
      <c r="S84" s="445"/>
      <c r="T84" s="445"/>
      <c r="U84" s="445"/>
      <c r="V84" s="445"/>
      <c r="W84" s="445"/>
      <c r="X84" s="444"/>
      <c r="Y84" s="444"/>
      <c r="Z84" s="444"/>
      <c r="AA84" s="444"/>
      <c r="AB84" s="444"/>
      <c r="AC84" s="444"/>
      <c r="AD84" s="443"/>
    </row>
    <row r="85" spans="1:30" ht="15" customHeight="1">
      <c r="A85" s="14"/>
      <c r="B85" s="121" t="s">
        <v>75</v>
      </c>
      <c r="C85" s="122" t="e">
        <f aca="true" t="shared" si="9" ref="C85:K85">C80</f>
        <v>#VALUE!</v>
      </c>
      <c r="D85" s="122"/>
      <c r="E85" s="122" t="e">
        <f t="shared" si="9"/>
        <v>#VALUE!</v>
      </c>
      <c r="F85" s="122" t="e">
        <f t="shared" si="9"/>
        <v>#VALUE!</v>
      </c>
      <c r="G85" s="122"/>
      <c r="H85" s="122" t="e">
        <f t="shared" si="9"/>
        <v>#VALUE!</v>
      </c>
      <c r="I85" s="122" t="e">
        <f t="shared" si="9"/>
        <v>#VALUE!</v>
      </c>
      <c r="J85" s="122" t="e">
        <f t="shared" si="9"/>
        <v>#VALUE!</v>
      </c>
      <c r="K85" s="123" t="e">
        <f t="shared" si="9"/>
        <v>#VALUE!</v>
      </c>
      <c r="L85" s="6"/>
      <c r="M85" s="444"/>
      <c r="N85" s="447"/>
      <c r="O85" s="447"/>
      <c r="P85" s="447"/>
      <c r="Q85" s="447"/>
      <c r="R85" s="447"/>
      <c r="S85" s="447"/>
      <c r="T85" s="447"/>
      <c r="U85" s="447"/>
      <c r="V85" s="447"/>
      <c r="W85" s="447"/>
      <c r="X85" s="444"/>
      <c r="Y85" s="444"/>
      <c r="Z85" s="444"/>
      <c r="AA85" s="444"/>
      <c r="AB85" s="444"/>
      <c r="AC85" s="444"/>
      <c r="AD85" s="443"/>
    </row>
    <row r="86" spans="1:30" ht="15" customHeight="1">
      <c r="A86" s="14"/>
      <c r="B86" s="107" t="s">
        <v>99</v>
      </c>
      <c r="C86" s="86" t="e">
        <f>J63+J64</f>
        <v>#VALUE!</v>
      </c>
      <c r="D86" s="86"/>
      <c r="E86" s="86" t="e">
        <f>J63+J64</f>
        <v>#VALUE!</v>
      </c>
      <c r="F86" s="86" t="e">
        <f>J63+J64</f>
        <v>#VALUE!</v>
      </c>
      <c r="G86" s="86"/>
      <c r="H86" s="86" t="e">
        <f>J63+J64</f>
        <v>#VALUE!</v>
      </c>
      <c r="I86" s="86" t="e">
        <f>J63+J64</f>
        <v>#VALUE!</v>
      </c>
      <c r="J86" s="86" t="str">
        <f>J65</f>
        <v> </v>
      </c>
      <c r="K86" s="86" t="str">
        <f>J86</f>
        <v> </v>
      </c>
      <c r="L86" s="89"/>
      <c r="M86" s="444"/>
      <c r="N86" s="444"/>
      <c r="O86" s="444"/>
      <c r="P86" s="444"/>
      <c r="Q86" s="444"/>
      <c r="R86" s="444"/>
      <c r="S86" s="444"/>
      <c r="T86" s="444"/>
      <c r="U86" s="444"/>
      <c r="V86" s="444"/>
      <c r="W86" s="444"/>
      <c r="X86" s="444"/>
      <c r="Y86" s="444"/>
      <c r="Z86" s="444"/>
      <c r="AA86" s="444"/>
      <c r="AB86" s="444"/>
      <c r="AC86" s="444"/>
      <c r="AD86" s="443"/>
    </row>
    <row r="87" spans="1:30" ht="15" customHeight="1">
      <c r="A87" s="14"/>
      <c r="B87" s="107" t="s">
        <v>100</v>
      </c>
      <c r="C87" s="86"/>
      <c r="D87" s="86"/>
      <c r="E87" s="86"/>
      <c r="F87" s="86"/>
      <c r="G87" s="86"/>
      <c r="H87" s="86"/>
      <c r="I87" s="86"/>
      <c r="J87" s="86"/>
      <c r="K87" s="113"/>
      <c r="L87" s="109"/>
      <c r="M87" s="444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4"/>
      <c r="Y87" s="444"/>
      <c r="Z87" s="444"/>
      <c r="AA87" s="444"/>
      <c r="AB87" s="444"/>
      <c r="AC87" s="444"/>
      <c r="AD87" s="443"/>
    </row>
    <row r="88" spans="1:30" ht="15" customHeight="1">
      <c r="A88" s="14"/>
      <c r="B88" s="107" t="s">
        <v>101</v>
      </c>
      <c r="C88" s="86" t="e">
        <f aca="true" t="shared" si="10" ref="C88:K88">C85-C86-C87</f>
        <v>#VALUE!</v>
      </c>
      <c r="D88" s="86"/>
      <c r="E88" s="86" t="e">
        <f t="shared" si="10"/>
        <v>#VALUE!</v>
      </c>
      <c r="F88" s="86" t="e">
        <f t="shared" si="10"/>
        <v>#VALUE!</v>
      </c>
      <c r="G88" s="86"/>
      <c r="H88" s="86" t="e">
        <f t="shared" si="10"/>
        <v>#VALUE!</v>
      </c>
      <c r="I88" s="86" t="e">
        <f t="shared" si="10"/>
        <v>#VALUE!</v>
      </c>
      <c r="J88" s="86" t="e">
        <f t="shared" si="10"/>
        <v>#VALUE!</v>
      </c>
      <c r="K88" s="113" t="e">
        <f t="shared" si="10"/>
        <v>#VALUE!</v>
      </c>
      <c r="L88" s="109"/>
      <c r="M88" s="444"/>
      <c r="N88" s="445"/>
      <c r="O88" s="445"/>
      <c r="P88" s="445"/>
      <c r="Q88" s="445"/>
      <c r="R88" s="445"/>
      <c r="S88" s="445"/>
      <c r="T88" s="445"/>
      <c r="U88" s="445"/>
      <c r="V88" s="445"/>
      <c r="W88" s="445"/>
      <c r="X88" s="444"/>
      <c r="Y88" s="444"/>
      <c r="Z88" s="444"/>
      <c r="AA88" s="444"/>
      <c r="AB88" s="444"/>
      <c r="AC88" s="444"/>
      <c r="AD88" s="443"/>
    </row>
    <row r="89" spans="1:30" ht="15" customHeight="1">
      <c r="A89" s="14"/>
      <c r="B89" s="107" t="s">
        <v>102</v>
      </c>
      <c r="C89" s="110" t="e">
        <f>C88/$C$12</f>
        <v>#VALUE!</v>
      </c>
      <c r="D89" s="110"/>
      <c r="E89" s="110" t="e">
        <f aca="true" t="shared" si="11" ref="E89:K89">E88/$C$12</f>
        <v>#VALUE!</v>
      </c>
      <c r="F89" s="110" t="e">
        <f t="shared" si="11"/>
        <v>#VALUE!</v>
      </c>
      <c r="G89" s="110"/>
      <c r="H89" s="110" t="e">
        <f t="shared" si="11"/>
        <v>#VALUE!</v>
      </c>
      <c r="I89" s="110" t="e">
        <f t="shared" si="11"/>
        <v>#VALUE!</v>
      </c>
      <c r="J89" s="110" t="e">
        <f t="shared" si="11"/>
        <v>#VALUE!</v>
      </c>
      <c r="K89" s="131" t="e">
        <f t="shared" si="11"/>
        <v>#VALUE!</v>
      </c>
      <c r="L89" s="109"/>
      <c r="M89" s="444"/>
      <c r="N89" s="445"/>
      <c r="O89" s="445"/>
      <c r="P89" s="445"/>
      <c r="Q89" s="445"/>
      <c r="R89" s="445"/>
      <c r="S89" s="445"/>
      <c r="T89" s="445"/>
      <c r="U89" s="445"/>
      <c r="V89" s="445"/>
      <c r="W89" s="445"/>
      <c r="X89" s="444"/>
      <c r="Y89" s="444"/>
      <c r="Z89" s="444"/>
      <c r="AA89" s="444"/>
      <c r="AB89" s="444"/>
      <c r="AC89" s="444"/>
      <c r="AD89" s="443"/>
    </row>
    <row r="90" spans="1:30" ht="15" customHeight="1">
      <c r="A90" s="14"/>
      <c r="B90" s="107" t="s">
        <v>103</v>
      </c>
      <c r="C90" s="86" t="e">
        <f>ROUND((C83*$K$44),0)</f>
        <v>#VALUE!</v>
      </c>
      <c r="D90" s="86"/>
      <c r="E90" s="86" t="e">
        <f aca="true" t="shared" si="12" ref="E90:K90">ROUND((E83*$K$44),0)</f>
        <v>#VALUE!</v>
      </c>
      <c r="F90" s="86" t="e">
        <f t="shared" si="12"/>
        <v>#VALUE!</v>
      </c>
      <c r="G90" s="86"/>
      <c r="H90" s="86" t="e">
        <f t="shared" si="12"/>
        <v>#VALUE!</v>
      </c>
      <c r="I90" s="86" t="e">
        <f t="shared" si="12"/>
        <v>#VALUE!</v>
      </c>
      <c r="J90" s="86" t="e">
        <f t="shared" si="12"/>
        <v>#VALUE!</v>
      </c>
      <c r="K90" s="113" t="e">
        <f t="shared" si="12"/>
        <v>#VALUE!</v>
      </c>
      <c r="L90" s="109"/>
      <c r="M90" s="444"/>
      <c r="N90" s="445"/>
      <c r="O90" s="445"/>
      <c r="P90" s="445"/>
      <c r="Q90" s="445"/>
      <c r="R90" s="445"/>
      <c r="S90" s="445"/>
      <c r="T90" s="445"/>
      <c r="U90" s="445"/>
      <c r="V90" s="445"/>
      <c r="W90" s="445"/>
      <c r="X90" s="444"/>
      <c r="Y90" s="444"/>
      <c r="Z90" s="444"/>
      <c r="AA90" s="444"/>
      <c r="AB90" s="444"/>
      <c r="AC90" s="444"/>
      <c r="AD90" s="443"/>
    </row>
    <row r="91" spans="1:30" ht="15" customHeight="1">
      <c r="A91" s="14"/>
      <c r="B91" s="107" t="s">
        <v>104</v>
      </c>
      <c r="C91" s="86" t="e">
        <f aca="true" t="shared" si="13" ref="C91:K91">C88-C90</f>
        <v>#VALUE!</v>
      </c>
      <c r="D91" s="86"/>
      <c r="E91" s="86" t="e">
        <f t="shared" si="13"/>
        <v>#VALUE!</v>
      </c>
      <c r="F91" s="86" t="e">
        <f t="shared" si="13"/>
        <v>#VALUE!</v>
      </c>
      <c r="G91" s="86"/>
      <c r="H91" s="86" t="e">
        <f t="shared" si="13"/>
        <v>#VALUE!</v>
      </c>
      <c r="I91" s="86" t="e">
        <f t="shared" si="13"/>
        <v>#VALUE!</v>
      </c>
      <c r="J91" s="86" t="e">
        <f t="shared" si="13"/>
        <v>#VALUE!</v>
      </c>
      <c r="K91" s="113" t="e">
        <f t="shared" si="13"/>
        <v>#VALUE!</v>
      </c>
      <c r="L91" s="109"/>
      <c r="M91" s="444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4"/>
      <c r="Y91" s="444"/>
      <c r="Z91" s="444"/>
      <c r="AA91" s="444"/>
      <c r="AB91" s="444"/>
      <c r="AC91" s="444"/>
      <c r="AD91" s="443"/>
    </row>
    <row r="92" spans="1:30" ht="15" customHeight="1" thickBot="1">
      <c r="A92" s="14"/>
      <c r="B92" s="124" t="s">
        <v>105</v>
      </c>
      <c r="C92" s="132" t="e">
        <f>SUM(C91/SUM($C$12+$K$19))</f>
        <v>#VALUE!</v>
      </c>
      <c r="D92" s="132"/>
      <c r="E92" s="132" t="e">
        <f aca="true" t="shared" si="14" ref="E92:K92">SUM(E91/SUM($C$12+$K$19))</f>
        <v>#VALUE!</v>
      </c>
      <c r="F92" s="132" t="e">
        <f t="shared" si="14"/>
        <v>#VALUE!</v>
      </c>
      <c r="G92" s="132"/>
      <c r="H92" s="132" t="e">
        <f t="shared" si="14"/>
        <v>#VALUE!</v>
      </c>
      <c r="I92" s="132" t="e">
        <f t="shared" si="14"/>
        <v>#VALUE!</v>
      </c>
      <c r="J92" s="132" t="e">
        <f t="shared" si="14"/>
        <v>#VALUE!</v>
      </c>
      <c r="K92" s="133" t="e">
        <f t="shared" si="14"/>
        <v>#VALUE!</v>
      </c>
      <c r="L92" s="109"/>
      <c r="M92" s="444"/>
      <c r="N92" s="445"/>
      <c r="O92" s="445"/>
      <c r="P92" s="445"/>
      <c r="Q92" s="445"/>
      <c r="R92" s="445"/>
      <c r="S92" s="445"/>
      <c r="T92" s="445"/>
      <c r="U92" s="445"/>
      <c r="V92" s="445"/>
      <c r="W92" s="445"/>
      <c r="X92" s="444"/>
      <c r="Y92" s="444"/>
      <c r="Z92" s="444"/>
      <c r="AA92" s="444"/>
      <c r="AB92" s="444"/>
      <c r="AC92" s="444"/>
      <c r="AD92" s="443"/>
    </row>
    <row r="93" spans="1:30" ht="15" customHeight="1" thickBot="1">
      <c r="A93" s="14"/>
      <c r="B93" s="127"/>
      <c r="C93" s="134"/>
      <c r="D93" s="134"/>
      <c r="E93" s="134"/>
      <c r="F93" s="135" t="s">
        <v>106</v>
      </c>
      <c r="G93" s="135"/>
      <c r="H93" s="134"/>
      <c r="I93" s="134"/>
      <c r="J93" s="134"/>
      <c r="K93" s="136"/>
      <c r="L93" s="109"/>
      <c r="M93" s="444"/>
      <c r="N93" s="445"/>
      <c r="O93" s="445"/>
      <c r="P93" s="445"/>
      <c r="Q93" s="445"/>
      <c r="R93" s="445"/>
      <c r="S93" s="445"/>
      <c r="T93" s="445"/>
      <c r="U93" s="445"/>
      <c r="V93" s="445"/>
      <c r="W93" s="445"/>
      <c r="X93" s="444"/>
      <c r="Y93" s="444"/>
      <c r="Z93" s="444"/>
      <c r="AA93" s="444"/>
      <c r="AB93" s="444"/>
      <c r="AC93" s="444"/>
      <c r="AD93" s="443"/>
    </row>
    <row r="94" spans="1:30" ht="15" customHeight="1" thickBot="1" thickTop="1">
      <c r="A94" s="14"/>
      <c r="B94" s="121" t="s">
        <v>107</v>
      </c>
      <c r="C94" s="137"/>
      <c r="D94" s="301"/>
      <c r="E94" s="138">
        <f>C12+C8</f>
        <v>0</v>
      </c>
      <c r="F94" s="115"/>
      <c r="G94" s="115"/>
      <c r="H94" s="115"/>
      <c r="I94" s="11"/>
      <c r="J94" s="139" t="s">
        <v>108</v>
      </c>
      <c r="K94" s="140"/>
      <c r="L94" s="109"/>
      <c r="M94" s="444"/>
      <c r="N94" s="445"/>
      <c r="O94" s="445"/>
      <c r="P94" s="445"/>
      <c r="Q94" s="445"/>
      <c r="R94" s="445"/>
      <c r="S94" s="445"/>
      <c r="T94" s="445"/>
      <c r="U94" s="445"/>
      <c r="V94" s="445"/>
      <c r="W94" s="445"/>
      <c r="X94" s="444"/>
      <c r="Y94" s="444"/>
      <c r="Z94" s="444"/>
      <c r="AA94" s="444"/>
      <c r="AB94" s="444"/>
      <c r="AC94" s="444"/>
      <c r="AD94" s="443"/>
    </row>
    <row r="95" spans="1:30" ht="15" customHeight="1" thickTop="1">
      <c r="A95" s="14"/>
      <c r="B95" s="107" t="s">
        <v>109</v>
      </c>
      <c r="C95" s="141"/>
      <c r="D95" s="302"/>
      <c r="E95" s="142">
        <v>0</v>
      </c>
      <c r="F95" s="134"/>
      <c r="G95" s="134"/>
      <c r="H95" s="134"/>
      <c r="I95" s="143" t="s">
        <v>110</v>
      </c>
      <c r="J95" s="304"/>
      <c r="K95" s="144">
        <f>SUM(E94*(POWER(SUM(1+K52),K43)))</f>
        <v>0</v>
      </c>
      <c r="L95" s="109"/>
      <c r="M95" s="444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4"/>
      <c r="Y95" s="444"/>
      <c r="Z95" s="444"/>
      <c r="AA95" s="444"/>
      <c r="AB95" s="444"/>
      <c r="AC95" s="444"/>
      <c r="AD95" s="443"/>
    </row>
    <row r="96" spans="1:30" ht="15" customHeight="1">
      <c r="A96" s="14"/>
      <c r="B96" s="107" t="s">
        <v>111</v>
      </c>
      <c r="C96" s="141"/>
      <c r="D96" s="302"/>
      <c r="E96" s="145">
        <f>K96</f>
        <v>0</v>
      </c>
      <c r="F96" s="134"/>
      <c r="G96" s="134"/>
      <c r="H96" s="134"/>
      <c r="I96" s="146" t="s">
        <v>112</v>
      </c>
      <c r="J96" s="302"/>
      <c r="K96" s="147">
        <f>K95*0.08</f>
        <v>0</v>
      </c>
      <c r="L96" s="109"/>
      <c r="M96" s="444"/>
      <c r="N96" s="445"/>
      <c r="O96" s="445"/>
      <c r="P96" s="445"/>
      <c r="Q96" s="445"/>
      <c r="R96" s="445"/>
      <c r="S96" s="445"/>
      <c r="T96" s="445"/>
      <c r="U96" s="445"/>
      <c r="V96" s="445"/>
      <c r="W96" s="445"/>
      <c r="X96" s="444"/>
      <c r="Y96" s="444"/>
      <c r="Z96" s="444"/>
      <c r="AA96" s="444"/>
      <c r="AB96" s="444"/>
      <c r="AC96" s="444"/>
      <c r="AD96" s="443"/>
    </row>
    <row r="97" spans="1:30" ht="15" customHeight="1">
      <c r="A97" s="14"/>
      <c r="B97" s="107" t="s">
        <v>113</v>
      </c>
      <c r="C97" s="141"/>
      <c r="D97" s="302"/>
      <c r="E97" s="145" t="str">
        <f>IF(E94+E95+E96&gt;0,E94+E95+E96," ")</f>
        <v> </v>
      </c>
      <c r="F97" s="134"/>
      <c r="G97" s="134"/>
      <c r="H97" s="134"/>
      <c r="I97" s="146" t="s">
        <v>114</v>
      </c>
      <c r="J97" s="302"/>
      <c r="K97" s="147">
        <f>+K69</f>
        <v>0</v>
      </c>
      <c r="L97" s="6"/>
      <c r="M97" s="444"/>
      <c r="N97" s="444"/>
      <c r="O97" s="444"/>
      <c r="P97" s="444"/>
      <c r="Q97" s="444"/>
      <c r="R97" s="444"/>
      <c r="S97" s="444"/>
      <c r="T97" s="444"/>
      <c r="U97" s="444"/>
      <c r="V97" s="444"/>
      <c r="W97" s="444"/>
      <c r="X97" s="444"/>
      <c r="Y97" s="444"/>
      <c r="Z97" s="444"/>
      <c r="AA97" s="444"/>
      <c r="AB97" s="444"/>
      <c r="AC97" s="444"/>
      <c r="AD97" s="443"/>
    </row>
    <row r="98" spans="1:29" ht="15" customHeight="1">
      <c r="A98" s="14"/>
      <c r="B98" s="107" t="s">
        <v>97</v>
      </c>
      <c r="C98" s="141"/>
      <c r="D98" s="302"/>
      <c r="E98" s="145">
        <f>SUM(C82:K82)</f>
        <v>0</v>
      </c>
      <c r="F98" s="134"/>
      <c r="G98" s="134"/>
      <c r="H98" s="134"/>
      <c r="I98" s="146" t="s">
        <v>115</v>
      </c>
      <c r="J98" s="302"/>
      <c r="K98" s="147">
        <f>IF(K95=" "," ",K95-(K96+K97))</f>
        <v>0</v>
      </c>
      <c r="L98" s="6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</row>
    <row r="99" spans="1:29" ht="15" customHeight="1" thickBot="1">
      <c r="A99" s="14"/>
      <c r="B99" s="107" t="s">
        <v>116</v>
      </c>
      <c r="C99" s="141"/>
      <c r="D99" s="302"/>
      <c r="E99" s="142">
        <v>0</v>
      </c>
      <c r="F99" s="134"/>
      <c r="G99" s="134"/>
      <c r="H99" s="134"/>
      <c r="I99" s="146" t="s">
        <v>117</v>
      </c>
      <c r="J99" s="302"/>
      <c r="K99" s="147" t="e">
        <f>E105</f>
        <v>#VALUE!</v>
      </c>
      <c r="L99" s="6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</row>
    <row r="100" spans="1:29" ht="15" customHeight="1" thickBot="1">
      <c r="A100" s="14"/>
      <c r="B100" s="107" t="s">
        <v>118</v>
      </c>
      <c r="C100" s="141"/>
      <c r="D100" s="302"/>
      <c r="E100" s="145" t="e">
        <f>E97-(E98+E99)</f>
        <v>#VALUE!</v>
      </c>
      <c r="F100" s="134"/>
      <c r="G100" s="134"/>
      <c r="H100" s="134"/>
      <c r="I100" s="146" t="s">
        <v>119</v>
      </c>
      <c r="J100" s="302"/>
      <c r="K100" s="147" t="e">
        <f>IF(K95=" "," ",K98-K99)</f>
        <v>#VALUE!</v>
      </c>
      <c r="L100" s="6"/>
      <c r="M100" s="34"/>
      <c r="N100" s="164"/>
      <c r="O100" s="165"/>
      <c r="P100" s="165" t="s">
        <v>120</v>
      </c>
      <c r="Q100" s="165"/>
      <c r="R100" s="165"/>
      <c r="S100" s="165"/>
      <c r="T100" s="165"/>
      <c r="U100" s="165"/>
      <c r="V100" s="165"/>
      <c r="W100" s="165"/>
      <c r="X100" s="166"/>
      <c r="Y100" s="34"/>
      <c r="Z100" s="34"/>
      <c r="AA100" s="34"/>
      <c r="AB100" s="34"/>
      <c r="AC100" s="34"/>
    </row>
    <row r="101" spans="1:29" ht="15" customHeight="1" thickBot="1" thickTop="1">
      <c r="A101" s="14"/>
      <c r="B101" s="107" t="s">
        <v>110</v>
      </c>
      <c r="C101" s="141"/>
      <c r="D101" s="302"/>
      <c r="E101" s="145">
        <f>K95</f>
        <v>0</v>
      </c>
      <c r="F101" s="134"/>
      <c r="G101" s="134"/>
      <c r="H101" s="134"/>
      <c r="I101" s="143"/>
      <c r="J101" s="305" t="s">
        <v>121</v>
      </c>
      <c r="K101" s="106"/>
      <c r="L101" s="6"/>
      <c r="M101" s="34"/>
      <c r="N101" s="167" t="s">
        <v>122</v>
      </c>
      <c r="O101" s="168"/>
      <c r="P101" s="168">
        <v>0</v>
      </c>
      <c r="Q101" s="168">
        <f>P101+1</f>
        <v>1</v>
      </c>
      <c r="R101" s="168"/>
      <c r="S101" s="168">
        <f>Q101+1</f>
        <v>2</v>
      </c>
      <c r="T101" s="168">
        <f>S101+1</f>
        <v>3</v>
      </c>
      <c r="U101" s="168">
        <f>T101+1</f>
        <v>4</v>
      </c>
      <c r="V101" s="168">
        <f>U101+1</f>
        <v>5</v>
      </c>
      <c r="W101" s="168">
        <f>V101+1</f>
        <v>6</v>
      </c>
      <c r="X101" s="169">
        <f>W101+1</f>
        <v>7</v>
      </c>
      <c r="Y101" s="34"/>
      <c r="Z101" s="34"/>
      <c r="AA101" s="34"/>
      <c r="AB101" s="34"/>
      <c r="AC101" s="34"/>
    </row>
    <row r="102" spans="1:29" ht="15" customHeight="1" thickTop="1">
      <c r="A102" s="14"/>
      <c r="B102" s="107" t="s">
        <v>123</v>
      </c>
      <c r="C102" s="141"/>
      <c r="D102" s="302"/>
      <c r="E102" s="145" t="e">
        <f>IF(E100&gt;0,E100," ")</f>
        <v>#VALUE!</v>
      </c>
      <c r="F102" s="134"/>
      <c r="G102" s="134"/>
      <c r="H102" s="134"/>
      <c r="I102" s="143" t="s">
        <v>124</v>
      </c>
      <c r="J102" s="306"/>
      <c r="K102" s="148" t="e">
        <f>C7/C24</f>
        <v>#DIV/0!</v>
      </c>
      <c r="L102" s="6"/>
      <c r="M102" s="34"/>
      <c r="N102" s="170" t="s">
        <v>125</v>
      </c>
      <c r="O102" s="149"/>
      <c r="P102" s="149">
        <f>C12*-1</f>
        <v>0</v>
      </c>
      <c r="Q102" s="149"/>
      <c r="R102" s="149"/>
      <c r="S102" s="149"/>
      <c r="T102" s="149"/>
      <c r="U102" s="149"/>
      <c r="V102" s="149"/>
      <c r="W102" s="149"/>
      <c r="X102" s="150"/>
      <c r="Y102" s="34"/>
      <c r="Z102" s="34"/>
      <c r="AA102" s="34"/>
      <c r="AB102" s="34"/>
      <c r="AC102" s="34"/>
    </row>
    <row r="103" spans="1:29" ht="15" customHeight="1">
      <c r="A103" s="14"/>
      <c r="B103" s="107" t="s">
        <v>126</v>
      </c>
      <c r="C103" s="141"/>
      <c r="D103" s="302"/>
      <c r="E103" s="145" t="str">
        <f>IF(E101&gt;0,E101-E102," ")</f>
        <v> </v>
      </c>
      <c r="F103" s="134"/>
      <c r="G103" s="134"/>
      <c r="H103" s="134"/>
      <c r="I103" s="146" t="s">
        <v>6</v>
      </c>
      <c r="J103" s="307"/>
      <c r="K103" s="80" t="e">
        <f>K4</f>
        <v>#DIV/0!</v>
      </c>
      <c r="L103" s="6"/>
      <c r="M103" s="34"/>
      <c r="N103" s="170" t="s">
        <v>127</v>
      </c>
      <c r="O103" s="149"/>
      <c r="P103" s="149"/>
      <c r="Q103" s="149" t="e">
        <f>C88</f>
        <v>#VALUE!</v>
      </c>
      <c r="R103" s="149"/>
      <c r="S103" s="149" t="e">
        <f>E88</f>
        <v>#VALUE!</v>
      </c>
      <c r="T103" s="149" t="e">
        <f>F88</f>
        <v>#VALUE!</v>
      </c>
      <c r="U103" s="149" t="e">
        <f>H88</f>
        <v>#VALUE!</v>
      </c>
      <c r="V103" s="149" t="e">
        <f>I88</f>
        <v>#VALUE!</v>
      </c>
      <c r="W103" s="149" t="e">
        <f>J88</f>
        <v>#VALUE!</v>
      </c>
      <c r="X103" s="150" t="e">
        <f>K88</f>
        <v>#VALUE!</v>
      </c>
      <c r="Y103" s="34"/>
      <c r="Z103" s="34"/>
      <c r="AA103" s="34"/>
      <c r="AB103" s="34"/>
      <c r="AC103" s="34"/>
    </row>
    <row r="104" spans="1:29" ht="15" customHeight="1" thickBot="1">
      <c r="A104" s="14"/>
      <c r="B104" s="107" t="s">
        <v>128</v>
      </c>
      <c r="C104" s="141"/>
      <c r="D104" s="302"/>
      <c r="E104" s="337">
        <f>(K45+K46)</f>
        <v>0.24</v>
      </c>
      <c r="F104" s="134"/>
      <c r="G104" s="134"/>
      <c r="H104" s="134"/>
      <c r="I104" s="152" t="s">
        <v>129</v>
      </c>
      <c r="J104" s="308"/>
      <c r="K104" s="80" t="e">
        <f>C92</f>
        <v>#VALUE!</v>
      </c>
      <c r="L104" s="6"/>
      <c r="M104" s="34"/>
      <c r="N104" s="170" t="s">
        <v>130</v>
      </c>
      <c r="O104" s="149"/>
      <c r="P104" s="149"/>
      <c r="Q104" s="149"/>
      <c r="R104" s="149"/>
      <c r="S104" s="149"/>
      <c r="T104" s="149"/>
      <c r="U104" s="149"/>
      <c r="V104" s="149"/>
      <c r="W104" s="149"/>
      <c r="X104" s="150">
        <f>K98</f>
        <v>0</v>
      </c>
      <c r="Y104" s="34"/>
      <c r="Z104" s="34"/>
      <c r="AA104" s="34"/>
      <c r="AB104" s="34"/>
      <c r="AC104" s="34"/>
    </row>
    <row r="105" spans="1:29" ht="15" customHeight="1" thickBot="1">
      <c r="A105" s="14"/>
      <c r="B105" s="153" t="s">
        <v>131</v>
      </c>
      <c r="C105" s="154"/>
      <c r="D105" s="303"/>
      <c r="E105" s="155" t="e">
        <f>SUM(E103*E104)+(E98*SUM(K47-E104))</f>
        <v>#VALUE!</v>
      </c>
      <c r="F105" s="156"/>
      <c r="G105" s="156"/>
      <c r="H105" s="156"/>
      <c r="I105" s="157" t="s">
        <v>132</v>
      </c>
      <c r="J105" s="309"/>
      <c r="K105" s="198" t="e">
        <f>+N113</f>
        <v>#VALUE!</v>
      </c>
      <c r="L105" s="6"/>
      <c r="M105" s="34"/>
      <c r="N105" s="171" t="s">
        <v>50</v>
      </c>
      <c r="O105" s="172"/>
      <c r="P105" s="172">
        <f>SUM(P102:P104)</f>
        <v>0</v>
      </c>
      <c r="Q105" s="172" t="e">
        <f aca="true" t="shared" si="15" ref="Q105:X105">SUM(Q102:Q104)</f>
        <v>#VALUE!</v>
      </c>
      <c r="R105" s="172"/>
      <c r="S105" s="172" t="e">
        <f t="shared" si="15"/>
        <v>#VALUE!</v>
      </c>
      <c r="T105" s="172" t="e">
        <f t="shared" si="15"/>
        <v>#VALUE!</v>
      </c>
      <c r="U105" s="172" t="e">
        <f t="shared" si="15"/>
        <v>#VALUE!</v>
      </c>
      <c r="V105" s="172" t="e">
        <f t="shared" si="15"/>
        <v>#VALUE!</v>
      </c>
      <c r="W105" s="172" t="e">
        <f t="shared" si="15"/>
        <v>#VALUE!</v>
      </c>
      <c r="X105" s="173" t="e">
        <f t="shared" si="15"/>
        <v>#VALUE!</v>
      </c>
      <c r="Y105" s="34"/>
      <c r="Z105" s="34"/>
      <c r="AA105" s="34"/>
      <c r="AB105" s="34"/>
      <c r="AC105" s="34"/>
    </row>
    <row r="106" spans="1:29" ht="15" customHeight="1" thickBot="1" thickTop="1">
      <c r="A106" s="14"/>
      <c r="B106" s="213"/>
      <c r="C106" s="99"/>
      <c r="D106" s="99"/>
      <c r="E106" s="99"/>
      <c r="F106" s="99"/>
      <c r="G106" s="99"/>
      <c r="H106" s="99"/>
      <c r="I106" s="99"/>
      <c r="J106" s="99"/>
      <c r="K106" s="241"/>
      <c r="L106" s="2"/>
      <c r="M106" s="34"/>
      <c r="N106" s="197" t="e">
        <f>IRR(P105:X105)</f>
        <v>#VALUE!</v>
      </c>
      <c r="O106" s="197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</row>
    <row r="107" spans="1:29" ht="15" customHeight="1" thickTop="1">
      <c r="A107" s="14"/>
      <c r="B107" s="214" t="s">
        <v>134</v>
      </c>
      <c r="C107" s="158"/>
      <c r="D107" s="158"/>
      <c r="E107" s="158"/>
      <c r="F107" s="158"/>
      <c r="G107" s="158"/>
      <c r="H107" s="158"/>
      <c r="I107" s="158"/>
      <c r="J107" s="158"/>
      <c r="K107" s="242"/>
      <c r="L107" s="6"/>
      <c r="M107" s="34"/>
      <c r="N107" s="164"/>
      <c r="O107" s="165"/>
      <c r="P107" s="165" t="s">
        <v>133</v>
      </c>
      <c r="Q107" s="165"/>
      <c r="R107" s="165"/>
      <c r="S107" s="165"/>
      <c r="T107" s="165"/>
      <c r="U107" s="165"/>
      <c r="V107" s="165"/>
      <c r="W107" s="165"/>
      <c r="X107" s="166"/>
      <c r="Y107" s="34"/>
      <c r="Z107" s="34"/>
      <c r="AA107" s="34"/>
      <c r="AB107" s="34"/>
      <c r="AC107" s="34"/>
    </row>
    <row r="108" spans="1:29" ht="15" customHeight="1" thickBot="1">
      <c r="A108" s="14"/>
      <c r="B108" s="215" t="s">
        <v>135</v>
      </c>
      <c r="C108" s="91"/>
      <c r="D108" s="91"/>
      <c r="E108" s="91"/>
      <c r="F108" s="91"/>
      <c r="G108" s="91"/>
      <c r="H108" s="91"/>
      <c r="I108" s="91"/>
      <c r="J108" s="91"/>
      <c r="K108" s="243"/>
      <c r="L108" s="6"/>
      <c r="M108" s="34"/>
      <c r="N108" s="167" t="s">
        <v>122</v>
      </c>
      <c r="O108" s="168"/>
      <c r="P108" s="168">
        <v>0</v>
      </c>
      <c r="Q108" s="168">
        <f>P108+1</f>
        <v>1</v>
      </c>
      <c r="R108" s="168"/>
      <c r="S108" s="168">
        <f>Q108+1</f>
        <v>2</v>
      </c>
      <c r="T108" s="168">
        <f>S108+1</f>
        <v>3</v>
      </c>
      <c r="U108" s="168">
        <f>T108+1</f>
        <v>4</v>
      </c>
      <c r="V108" s="168">
        <f>U108+1</f>
        <v>5</v>
      </c>
      <c r="W108" s="168">
        <f>V108+1</f>
        <v>6</v>
      </c>
      <c r="X108" s="169">
        <f>W108+1</f>
        <v>7</v>
      </c>
      <c r="Y108" s="34"/>
      <c r="Z108" s="34"/>
      <c r="AA108" s="34"/>
      <c r="AB108" s="34"/>
      <c r="AC108" s="34"/>
    </row>
    <row r="109" spans="1:29" ht="15" customHeight="1" thickBot="1">
      <c r="A109" s="14"/>
      <c r="B109" s="216" t="s">
        <v>136</v>
      </c>
      <c r="C109" s="159"/>
      <c r="D109" s="159"/>
      <c r="E109" s="159"/>
      <c r="F109" s="159"/>
      <c r="G109" s="159"/>
      <c r="H109" s="159"/>
      <c r="I109" s="159"/>
      <c r="J109" s="159"/>
      <c r="K109" s="244"/>
      <c r="L109" s="6"/>
      <c r="M109" s="34"/>
      <c r="N109" s="170" t="s">
        <v>125</v>
      </c>
      <c r="O109" s="149"/>
      <c r="P109" s="149">
        <f>P102</f>
        <v>0</v>
      </c>
      <c r="Q109" s="149"/>
      <c r="R109" s="149"/>
      <c r="S109" s="149"/>
      <c r="T109" s="149"/>
      <c r="U109" s="149"/>
      <c r="V109" s="149"/>
      <c r="W109" s="149"/>
      <c r="X109" s="150"/>
      <c r="Y109" s="34"/>
      <c r="Z109" s="34"/>
      <c r="AA109" s="34"/>
      <c r="AB109" s="34"/>
      <c r="AC109" s="34"/>
    </row>
    <row r="110" spans="1:29" ht="12.75" thickTop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34"/>
      <c r="N110" s="170" t="s">
        <v>127</v>
      </c>
      <c r="O110" s="149"/>
      <c r="P110" s="149"/>
      <c r="Q110" s="149" t="e">
        <f>C91</f>
        <v>#VALUE!</v>
      </c>
      <c r="R110" s="149"/>
      <c r="S110" s="149" t="e">
        <f>E91</f>
        <v>#VALUE!</v>
      </c>
      <c r="T110" s="149" t="e">
        <f>F91</f>
        <v>#VALUE!</v>
      </c>
      <c r="U110" s="149" t="e">
        <f>H91</f>
        <v>#VALUE!</v>
      </c>
      <c r="V110" s="149" t="e">
        <f>I91</f>
        <v>#VALUE!</v>
      </c>
      <c r="W110" s="149" t="e">
        <f>J91</f>
        <v>#VALUE!</v>
      </c>
      <c r="X110" s="149" t="e">
        <f>K91</f>
        <v>#VALUE!</v>
      </c>
      <c r="Y110" s="34"/>
      <c r="Z110" s="34"/>
      <c r="AA110" s="34"/>
      <c r="AB110" s="34"/>
      <c r="AC110" s="34"/>
    </row>
    <row r="111" spans="13:29" ht="12.75" thickBot="1">
      <c r="M111" s="3"/>
      <c r="N111" s="170" t="s">
        <v>130</v>
      </c>
      <c r="O111" s="149"/>
      <c r="P111" s="149"/>
      <c r="Q111" s="149"/>
      <c r="R111" s="149"/>
      <c r="S111" s="149"/>
      <c r="T111" s="149"/>
      <c r="U111" s="149"/>
      <c r="V111" s="149"/>
      <c r="W111" s="149"/>
      <c r="X111" s="150" t="e">
        <f>+K100</f>
        <v>#VALUE!</v>
      </c>
      <c r="Y111" s="34"/>
      <c r="Z111" s="34"/>
      <c r="AA111" s="3"/>
      <c r="AB111" s="3"/>
      <c r="AC111" s="3"/>
    </row>
    <row r="112" spans="13:29" ht="12.75" thickBot="1">
      <c r="M112" s="3"/>
      <c r="N112" s="171" t="s">
        <v>50</v>
      </c>
      <c r="O112" s="172"/>
      <c r="P112" s="172">
        <f aca="true" t="shared" si="16" ref="P112:X112">SUM(P109:P111)</f>
        <v>0</v>
      </c>
      <c r="Q112" s="172" t="e">
        <f t="shared" si="16"/>
        <v>#VALUE!</v>
      </c>
      <c r="R112" s="172"/>
      <c r="S112" s="172" t="e">
        <f t="shared" si="16"/>
        <v>#VALUE!</v>
      </c>
      <c r="T112" s="172" t="e">
        <f t="shared" si="16"/>
        <v>#VALUE!</v>
      </c>
      <c r="U112" s="172" t="e">
        <f t="shared" si="16"/>
        <v>#VALUE!</v>
      </c>
      <c r="V112" s="172" t="e">
        <f t="shared" si="16"/>
        <v>#VALUE!</v>
      </c>
      <c r="W112" s="172" t="e">
        <f t="shared" si="16"/>
        <v>#VALUE!</v>
      </c>
      <c r="X112" s="173" t="e">
        <f t="shared" si="16"/>
        <v>#VALUE!</v>
      </c>
      <c r="Y112" s="34"/>
      <c r="Z112" s="34"/>
      <c r="AA112" s="3"/>
      <c r="AB112" s="3"/>
      <c r="AC112" s="3"/>
    </row>
    <row r="113" spans="13:29" ht="12">
      <c r="M113" s="3"/>
      <c r="N113" s="197" t="e">
        <f>IRR(P112:X112)</f>
        <v>#VALUE!</v>
      </c>
      <c r="O113" s="197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"/>
      <c r="AB113" s="3"/>
      <c r="AC113" s="3"/>
    </row>
    <row r="114" spans="13:29" ht="12"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</sheetData>
  <sheetProtection/>
  <mergeCells count="30">
    <mergeCell ref="H34:I34"/>
    <mergeCell ref="J34:K34"/>
    <mergeCell ref="J29:K29"/>
    <mergeCell ref="H25:I25"/>
    <mergeCell ref="H26:I26"/>
    <mergeCell ref="H27:I27"/>
    <mergeCell ref="H28:I28"/>
    <mergeCell ref="J27:K27"/>
    <mergeCell ref="J28:K28"/>
    <mergeCell ref="J25:K25"/>
    <mergeCell ref="J32:K32"/>
    <mergeCell ref="H32:I32"/>
    <mergeCell ref="H33:I33"/>
    <mergeCell ref="J26:K26"/>
    <mergeCell ref="C5:E5"/>
    <mergeCell ref="H5:I5"/>
    <mergeCell ref="J23:K23"/>
    <mergeCell ref="J24:K24"/>
    <mergeCell ref="H23:I23"/>
    <mergeCell ref="H24:I24"/>
    <mergeCell ref="J30:K30"/>
    <mergeCell ref="H31:I31"/>
    <mergeCell ref="J31:K31"/>
    <mergeCell ref="H29:I29"/>
    <mergeCell ref="H30:I30"/>
    <mergeCell ref="H53:K53"/>
    <mergeCell ref="H50:J50"/>
    <mergeCell ref="H51:K51"/>
    <mergeCell ref="H38:K38"/>
    <mergeCell ref="J33:K33"/>
  </mergeCells>
  <conditionalFormatting sqref="K19">
    <cfRule type="cellIs" priority="1" dxfId="0" operator="equal" stopIfTrue="1">
      <formula>0</formula>
    </cfRule>
  </conditionalFormatting>
  <printOptions/>
  <pageMargins left="0.25" right="0.25" top="0.5" bottom="0.5" header="0.25" footer="0.25"/>
  <pageSetup horizontalDpi="600" verticalDpi="600" orientation="portrait" scale="75"/>
  <rowBreaks count="1" manualBreakCount="1">
    <brk id="57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</dc:creator>
  <cp:keywords/>
  <dc:description/>
  <cp:lastModifiedBy>Tara Wilkinson</cp:lastModifiedBy>
  <cp:lastPrinted>2010-11-12T02:37:12Z</cp:lastPrinted>
  <dcterms:created xsi:type="dcterms:W3CDTF">2006-10-13T21:00:07Z</dcterms:created>
  <dcterms:modified xsi:type="dcterms:W3CDTF">2014-01-24T18:27:21Z</dcterms:modified>
  <cp:category/>
  <cp:version/>
  <cp:contentType/>
  <cp:contentStatus/>
</cp:coreProperties>
</file>